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userName="s349016" algorithmName="SHA-512" hashValue="kFGM4+cgDa+6h8LyEpJCkzxfIRy62VLfdq7B7/IJaUkd8+wuLfPXOdd3lXkx9ZnK4hXKLVSj/rTegxO9e6jaOA==" saltValue="ZhwX7PP7+YPMwCnAbdyOJw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3 Annual Update\Filed Documents\"/>
    </mc:Choice>
  </mc:AlternateContent>
  <xr:revisionPtr revIDLastSave="0" documentId="13_ncr:10001_{154355B3-8A7E-41FE-8990-2B84C2510F03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11" i="18"/>
  <c r="H35" i="18" l="1"/>
  <c r="H51" i="18"/>
  <c r="H84" i="18"/>
  <c r="H148" i="18"/>
  <c r="H52" i="18"/>
  <c r="H27" i="18"/>
  <c r="H43" i="18"/>
  <c r="H59" i="18"/>
  <c r="H116" i="18"/>
  <c r="H180" i="18"/>
  <c r="H20" i="18"/>
  <c r="H36" i="18"/>
  <c r="H100" i="18"/>
  <c r="H164" i="18"/>
  <c r="H28" i="18"/>
  <c r="H44" i="18"/>
  <c r="H68" i="18"/>
  <c r="H132" i="18"/>
  <c r="H196" i="18"/>
  <c r="H23" i="18"/>
  <c r="H31" i="18"/>
  <c r="H39" i="18"/>
  <c r="H47" i="18"/>
  <c r="H55" i="18"/>
  <c r="H63" i="18"/>
  <c r="H76" i="18"/>
  <c r="H92" i="18"/>
  <c r="H108" i="18"/>
  <c r="H124" i="18"/>
  <c r="H140" i="18"/>
  <c r="H156" i="18"/>
  <c r="H172" i="18"/>
  <c r="H188" i="18"/>
  <c r="H204" i="18"/>
  <c r="H60" i="18"/>
  <c r="H72" i="18"/>
  <c r="H88" i="18"/>
  <c r="H104" i="18"/>
  <c r="H120" i="18"/>
  <c r="H136" i="18"/>
  <c r="H152" i="18"/>
  <c r="H168" i="18"/>
  <c r="H184" i="18"/>
  <c r="H200" i="18"/>
  <c r="H24" i="18"/>
  <c r="H32" i="18"/>
  <c r="H40" i="18"/>
  <c r="H48" i="18"/>
  <c r="H56" i="18"/>
  <c r="H64" i="18"/>
  <c r="H80" i="18"/>
  <c r="H96" i="18"/>
  <c r="H112" i="18"/>
  <c r="H128" i="18"/>
  <c r="H144" i="18"/>
  <c r="H160" i="18"/>
  <c r="H176" i="18"/>
  <c r="H192" i="18"/>
  <c r="H208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H209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49" i="18"/>
  <c r="C61" i="18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D53" i="18"/>
  <c r="C64" i="18"/>
  <c r="C76" i="18" s="1"/>
  <c r="C51" i="18"/>
  <c r="C63" i="18"/>
  <c r="C87" i="18" s="1"/>
  <c r="C99" i="18" s="1"/>
  <c r="C111" i="18" s="1"/>
  <c r="C123" i="18" s="1"/>
  <c r="C135" i="18" s="1"/>
  <c r="C147" i="18" s="1"/>
  <c r="C159" i="18" s="1"/>
  <c r="D79" i="18"/>
  <c r="C44" i="18"/>
  <c r="C56" i="18"/>
  <c r="C80" i="18" s="1"/>
  <c r="C92" i="18" s="1"/>
  <c r="C104" i="18" s="1"/>
  <c r="C116" i="18" s="1"/>
  <c r="C128" i="18" s="1"/>
  <c r="C140" i="18" s="1"/>
  <c r="C152" i="18" s="1"/>
  <c r="D66" i="18"/>
  <c r="D78" i="18" s="1"/>
  <c r="K149" i="18"/>
  <c r="K103" i="18"/>
  <c r="K161" i="18"/>
  <c r="K175" i="18"/>
  <c r="K150" i="18"/>
  <c r="K174" i="18"/>
  <c r="K151" i="18"/>
  <c r="K75" i="18"/>
  <c r="K173" i="18"/>
  <c r="K40" i="18"/>
  <c r="K39" i="18"/>
  <c r="K64" i="18"/>
  <c r="K195" i="18"/>
  <c r="K162" i="18"/>
  <c r="K77" i="18"/>
  <c r="K79" i="18"/>
  <c r="K55" i="18"/>
  <c r="K199" i="18"/>
  <c r="K78" i="18"/>
  <c r="E23" i="29"/>
  <c r="G21" i="29"/>
  <c r="E36" i="29"/>
  <c r="E25" i="29"/>
  <c r="E22" i="29"/>
  <c r="H29" i="29"/>
  <c r="G37" i="29"/>
  <c r="H21" i="29"/>
  <c r="H25" i="29"/>
  <c r="D22" i="29"/>
  <c r="E21" i="29"/>
  <c r="E32" i="29"/>
  <c r="H30" i="29"/>
  <c r="E35" i="29"/>
  <c r="D37" i="29"/>
  <c r="D35" i="29"/>
  <c r="H36" i="29"/>
  <c r="D25" i="29"/>
  <c r="G33" i="29"/>
  <c r="H27" i="29"/>
  <c r="H22" i="29"/>
  <c r="D36" i="29"/>
  <c r="D21" i="29"/>
  <c r="G36" i="29"/>
  <c r="G31" i="29"/>
  <c r="E37" i="29"/>
  <c r="G28" i="29"/>
  <c r="E30" i="29"/>
  <c r="D23" i="29"/>
  <c r="D30" i="29"/>
  <c r="H31" i="29"/>
  <c r="D29" i="29"/>
  <c r="H33" i="29"/>
  <c r="D24" i="29"/>
  <c r="E26" i="29"/>
  <c r="H28" i="29"/>
  <c r="E24" i="29"/>
  <c r="D28" i="29"/>
  <c r="H32" i="29"/>
  <c r="G23" i="29"/>
  <c r="D32" i="29"/>
  <c r="G29" i="29"/>
  <c r="H23" i="29"/>
  <c r="G30" i="29"/>
  <c r="G26" i="29"/>
  <c r="G35" i="29"/>
  <c r="G27" i="29"/>
  <c r="H37" i="29"/>
  <c r="G25" i="29"/>
  <c r="G32" i="29"/>
  <c r="H35" i="29"/>
  <c r="D31" i="29"/>
  <c r="H24" i="29"/>
  <c r="G22" i="29"/>
  <c r="E29" i="29"/>
  <c r="D33" i="29"/>
  <c r="D26" i="29"/>
  <c r="D27" i="29"/>
  <c r="G24" i="29"/>
  <c r="E27" i="29"/>
  <c r="E31" i="29"/>
  <c r="H26" i="29"/>
  <c r="E33" i="29"/>
  <c r="E28" i="29"/>
  <c r="D55" i="18" l="1"/>
  <c r="C57" i="18"/>
  <c r="C81" i="18" s="1"/>
  <c r="C93" i="18" s="1"/>
  <c r="C105" i="18" s="1"/>
  <c r="C117" i="18" s="1"/>
  <c r="C129" i="18" s="1"/>
  <c r="C141" i="18" s="1"/>
  <c r="C153" i="18" s="1"/>
  <c r="C165" i="18" s="1"/>
  <c r="C53" i="18"/>
  <c r="D63" i="18"/>
  <c r="D87" i="18" s="1"/>
  <c r="D99" i="18" s="1"/>
  <c r="D111" i="18" s="1"/>
  <c r="D123" i="18" s="1"/>
  <c r="D135" i="18" s="1"/>
  <c r="D147" i="18" s="1"/>
  <c r="D159" i="18" s="1"/>
  <c r="C75" i="18"/>
  <c r="C88" i="18"/>
  <c r="C100" i="18" s="1"/>
  <c r="C112" i="18" s="1"/>
  <c r="C124" i="18" s="1"/>
  <c r="C136" i="18" s="1"/>
  <c r="C148" i="18" s="1"/>
  <c r="C160" i="18" s="1"/>
  <c r="C172" i="18" s="1"/>
  <c r="C54" i="18"/>
  <c r="D50" i="18"/>
  <c r="C73" i="18"/>
  <c r="F10" i="29"/>
  <c r="E20" i="29"/>
  <c r="D20" i="29"/>
  <c r="E10" i="29"/>
  <c r="C78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C72" i="18"/>
  <c r="D57" i="18"/>
  <c r="D69" i="18" s="1"/>
  <c r="D46" i="18"/>
  <c r="C68" i="18"/>
  <c r="O13" i="18"/>
  <c r="K53" i="18"/>
  <c r="K184" i="18"/>
  <c r="K67" i="18"/>
  <c r="K66" i="18"/>
  <c r="K54" i="18"/>
  <c r="K76" i="18"/>
  <c r="K148" i="18"/>
  <c r="K30" i="18"/>
  <c r="K43" i="18"/>
  <c r="K159" i="18"/>
  <c r="K135" i="18"/>
  <c r="K198" i="18"/>
  <c r="K91" i="18"/>
  <c r="K41" i="18"/>
  <c r="K160" i="18"/>
  <c r="K87" i="18"/>
  <c r="K136" i="18"/>
  <c r="K209" i="18"/>
  <c r="K138" i="18"/>
  <c r="K211" i="18"/>
  <c r="K185" i="18"/>
  <c r="K124" i="18"/>
  <c r="K63" i="18"/>
  <c r="K137" i="18"/>
  <c r="K31" i="18"/>
  <c r="K171" i="18"/>
  <c r="K65" i="18"/>
  <c r="K147" i="18"/>
  <c r="K208" i="18"/>
  <c r="K29" i="18"/>
  <c r="K114" i="18"/>
  <c r="K89" i="18"/>
  <c r="K42" i="18"/>
  <c r="K102" i="18"/>
  <c r="K113" i="18"/>
  <c r="K123" i="18"/>
  <c r="K101" i="18"/>
  <c r="K207" i="18"/>
  <c r="K196" i="18"/>
  <c r="K51" i="18"/>
  <c r="K186" i="18"/>
  <c r="K111" i="18"/>
  <c r="K27" i="18"/>
  <c r="K183" i="18"/>
  <c r="K100" i="18"/>
  <c r="K210" i="18"/>
  <c r="K99" i="18"/>
  <c r="K52" i="18"/>
  <c r="K197" i="18"/>
  <c r="K126" i="18"/>
  <c r="K139" i="18"/>
  <c r="E13" i="29"/>
  <c r="K187" i="18"/>
  <c r="K28" i="18"/>
  <c r="K115" i="18"/>
  <c r="K127" i="18"/>
  <c r="K88" i="18"/>
  <c r="J34" i="29"/>
  <c r="J39" i="29" s="1"/>
  <c r="G212" i="18"/>
  <c r="K125" i="18"/>
  <c r="K90" i="18"/>
  <c r="C67" i="18"/>
  <c r="C79" i="18" s="1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173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C69" i="18"/>
  <c r="D56" i="18"/>
  <c r="D68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D183" i="18"/>
  <c r="D195" i="18" s="1"/>
  <c r="D207" i="18" s="1"/>
  <c r="D171" i="18"/>
  <c r="C164" i="18"/>
  <c r="C176" i="18"/>
  <c r="C188" i="18" s="1"/>
  <c r="C200" i="18" s="1"/>
  <c r="C180" i="18"/>
  <c r="C192" i="18" s="1"/>
  <c r="C204" i="18" s="1"/>
  <c r="C168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75" i="18"/>
  <c r="K163" i="18"/>
  <c r="K172" i="18"/>
  <c r="K112" i="18"/>
  <c r="D64" i="18"/>
  <c r="D52" i="18"/>
  <c r="D80" i="18" l="1"/>
  <c r="D92" i="18" s="1"/>
  <c r="D104" i="18" s="1"/>
  <c r="D116" i="18" s="1"/>
  <c r="D128" i="18" s="1"/>
  <c r="D140" i="18" s="1"/>
  <c r="D152" i="18" s="1"/>
  <c r="D164" i="18" s="1"/>
  <c r="C184" i="18"/>
  <c r="C196" i="18" s="1"/>
  <c r="C208" i="18" s="1"/>
  <c r="C177" i="18"/>
  <c r="C189" i="18" s="1"/>
  <c r="C201" i="18" s="1"/>
  <c r="C174" i="18"/>
  <c r="D84" i="18"/>
  <c r="D96" i="18" s="1"/>
  <c r="D108" i="18" s="1"/>
  <c r="D120" i="18" s="1"/>
  <c r="D132" i="18" s="1"/>
  <c r="D144" i="18" s="1"/>
  <c r="D156" i="18" s="1"/>
  <c r="D168" i="18" s="1"/>
  <c r="D186" i="18"/>
  <c r="D198" i="18" s="1"/>
  <c r="D210" i="18" s="1"/>
  <c r="D185" i="18"/>
  <c r="D197" i="18" s="1"/>
  <c r="D209" i="18" s="1"/>
  <c r="D182" i="18"/>
  <c r="D194" i="18" s="1"/>
  <c r="D206" i="18" s="1"/>
  <c r="C91" i="18"/>
  <c r="C103" i="18" s="1"/>
  <c r="C115" i="18" s="1"/>
  <c r="C127" i="18" s="1"/>
  <c r="C139" i="18" s="1"/>
  <c r="C151" i="18" s="1"/>
  <c r="C163" i="18" s="1"/>
  <c r="D81" i="18"/>
  <c r="D93" i="18" s="1"/>
  <c r="D105" i="18" s="1"/>
  <c r="D117" i="18" s="1"/>
  <c r="D129" i="18" s="1"/>
  <c r="D141" i="18" s="1"/>
  <c r="D153" i="18" s="1"/>
  <c r="D177" i="18" s="1"/>
  <c r="D189" i="18" s="1"/>
  <c r="D201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6" i="18"/>
  <c r="D188" i="18" s="1"/>
  <c r="D200" i="18" s="1"/>
  <c r="I35" i="29"/>
  <c r="F38" i="29"/>
  <c r="D180" i="18"/>
  <c r="D192" i="18" s="1"/>
  <c r="D204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D165" i="18" l="1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K203" i="18" l="1"/>
  <c r="K191" i="18"/>
  <c r="K179" i="18"/>
  <c r="K167" i="18"/>
  <c r="K155" i="18"/>
  <c r="K143" i="18"/>
  <c r="K131" i="18"/>
  <c r="K119" i="18"/>
  <c r="K107" i="18"/>
  <c r="K95" i="18"/>
  <c r="K83" i="18"/>
  <c r="K71" i="18"/>
  <c r="K59" i="18"/>
  <c r="K47" i="18"/>
  <c r="K35" i="18"/>
  <c r="K26" i="18"/>
  <c r="K22" i="18"/>
  <c r="K106" i="18"/>
  <c r="K98" i="18"/>
  <c r="K94" i="18"/>
  <c r="K86" i="18"/>
  <c r="K82" i="18"/>
  <c r="K74" i="18"/>
  <c r="K206" i="18"/>
  <c r="K202" i="18"/>
  <c r="K194" i="18"/>
  <c r="K190" i="18"/>
  <c r="K182" i="18"/>
  <c r="K178" i="18"/>
  <c r="K170" i="18"/>
  <c r="K166" i="18"/>
  <c r="K158" i="18"/>
  <c r="K154" i="18"/>
  <c r="K146" i="18"/>
  <c r="K142" i="18"/>
  <c r="K134" i="18"/>
  <c r="K130" i="18"/>
  <c r="K122" i="18"/>
  <c r="K118" i="18"/>
  <c r="K110" i="18"/>
  <c r="K204" i="18"/>
  <c r="K188" i="18"/>
  <c r="K180" i="18"/>
  <c r="K164" i="18"/>
  <c r="K156" i="18"/>
  <c r="K140" i="18"/>
  <c r="K132" i="18"/>
  <c r="K116" i="18"/>
  <c r="K108" i="18"/>
  <c r="K92" i="18"/>
  <c r="K84" i="18"/>
  <c r="K70" i="18"/>
  <c r="K60" i="18"/>
  <c r="K49" i="18"/>
  <c r="K44" i="18"/>
  <c r="K38" i="18"/>
  <c r="K33" i="18"/>
  <c r="K23" i="18"/>
  <c r="K69" i="18"/>
  <c r="K58" i="18"/>
  <c r="K48" i="18"/>
  <c r="K37" i="18"/>
  <c r="K21" i="18"/>
  <c r="K201" i="18"/>
  <c r="K193" i="18"/>
  <c r="K177" i="18"/>
  <c r="K169" i="18"/>
  <c r="K153" i="18"/>
  <c r="K145" i="18"/>
  <c r="K129" i="18"/>
  <c r="K121" i="18"/>
  <c r="K105" i="18"/>
  <c r="K97" i="18"/>
  <c r="K81" i="18"/>
  <c r="K32" i="18"/>
  <c r="K200" i="18"/>
  <c r="K192" i="18"/>
  <c r="K176" i="18"/>
  <c r="K168" i="18"/>
  <c r="K152" i="18"/>
  <c r="K144" i="18"/>
  <c r="K128" i="18"/>
  <c r="K120" i="18"/>
  <c r="K104" i="18"/>
  <c r="K96" i="18"/>
  <c r="K80" i="18"/>
  <c r="K73" i="18"/>
  <c r="K68" i="18"/>
  <c r="K62" i="18"/>
  <c r="K57" i="18"/>
  <c r="K46" i="18"/>
  <c r="K36" i="18"/>
  <c r="K25" i="18"/>
  <c r="K20" i="18"/>
  <c r="K205" i="18"/>
  <c r="K189" i="18"/>
  <c r="K181" i="18"/>
  <c r="K165" i="18"/>
  <c r="K157" i="18"/>
  <c r="K141" i="18"/>
  <c r="K133" i="18"/>
  <c r="K117" i="18"/>
  <c r="K109" i="18"/>
  <c r="K93" i="18"/>
  <c r="K85" i="18"/>
  <c r="K72" i="18"/>
  <c r="K61" i="18"/>
  <c r="K56" i="18"/>
  <c r="K50" i="18"/>
  <c r="K45" i="18"/>
  <c r="K34" i="18"/>
  <c r="K24" i="18"/>
  <c r="K13" i="18" l="1"/>
  <c r="K14" i="18"/>
  <c r="K212" i="18"/>
  <c r="F12" i="29" l="1"/>
  <c r="I175" i="18" l="1"/>
  <c r="J175" i="18" s="1"/>
  <c r="L175" i="18" s="1"/>
  <c r="I157" i="18"/>
  <c r="J157" i="18" s="1"/>
  <c r="L157" i="18" s="1"/>
  <c r="I94" i="18"/>
  <c r="J94" i="18" s="1"/>
  <c r="L94" i="18" s="1"/>
  <c r="I30" i="18"/>
  <c r="J30" i="18" s="1"/>
  <c r="L30" i="18" s="1"/>
  <c r="I196" i="18"/>
  <c r="J196" i="18" s="1"/>
  <c r="L196" i="18" s="1"/>
  <c r="I134" i="18"/>
  <c r="J134" i="18" s="1"/>
  <c r="L134" i="18" s="1"/>
  <c r="I75" i="18"/>
  <c r="J75" i="18" s="1"/>
  <c r="L75" i="18" s="1"/>
  <c r="I201" i="18"/>
  <c r="J201" i="18" s="1"/>
  <c r="L201" i="18" s="1"/>
  <c r="I170" i="18"/>
  <c r="J170" i="18" s="1"/>
  <c r="L170" i="18" s="1"/>
  <c r="I110" i="18"/>
  <c r="J110" i="18" s="1"/>
  <c r="L110" i="18" s="1"/>
  <c r="I138" i="18"/>
  <c r="J138" i="18" s="1"/>
  <c r="L138" i="18" s="1"/>
  <c r="I100" i="18"/>
  <c r="J100" i="18" s="1"/>
  <c r="L100" i="18" s="1"/>
  <c r="I47" i="18"/>
  <c r="J47" i="18" s="1"/>
  <c r="L47" i="18" s="1"/>
  <c r="I77" i="18"/>
  <c r="J77" i="18" s="1"/>
  <c r="L77" i="18" s="1"/>
  <c r="I35" i="18"/>
  <c r="J35" i="18" s="1"/>
  <c r="L35" i="18" s="1"/>
  <c r="I204" i="18"/>
  <c r="J204" i="18" s="1"/>
  <c r="L204" i="18" s="1"/>
  <c r="I102" i="18"/>
  <c r="J102" i="18" s="1"/>
  <c r="L102" i="18" s="1"/>
  <c r="I89" i="18"/>
  <c r="J89" i="18" s="1"/>
  <c r="L89" i="18" s="1"/>
  <c r="I200" i="18"/>
  <c r="J200" i="18" s="1"/>
  <c r="L200" i="18" s="1"/>
  <c r="I133" i="18"/>
  <c r="J133" i="18" s="1"/>
  <c r="L133" i="18" s="1"/>
  <c r="I210" i="18"/>
  <c r="J210" i="18" s="1"/>
  <c r="L210" i="18" s="1"/>
  <c r="I144" i="18"/>
  <c r="J144" i="18" s="1"/>
  <c r="L144" i="18" s="1"/>
  <c r="I117" i="18"/>
  <c r="J117" i="18" s="1"/>
  <c r="L117" i="18" s="1"/>
  <c r="I118" i="18"/>
  <c r="J118" i="18" s="1"/>
  <c r="L118" i="18" s="1"/>
  <c r="I142" i="18"/>
  <c r="J142" i="18" s="1"/>
  <c r="L142" i="18" s="1"/>
  <c r="I188" i="18"/>
  <c r="J188" i="18" s="1"/>
  <c r="L188" i="18" s="1"/>
  <c r="I37" i="18"/>
  <c r="J37" i="18" s="1"/>
  <c r="L37" i="18" s="1"/>
  <c r="I209" i="18"/>
  <c r="J209" i="18" s="1"/>
  <c r="L209" i="18" s="1"/>
  <c r="I130" i="18"/>
  <c r="J130" i="18" s="1"/>
  <c r="L130" i="18" s="1"/>
  <c r="I73" i="18"/>
  <c r="J73" i="18" s="1"/>
  <c r="L73" i="18" s="1"/>
  <c r="I129" i="18"/>
  <c r="J129" i="18" s="1"/>
  <c r="L129" i="18" s="1"/>
  <c r="I147" i="18"/>
  <c r="J147" i="18" s="1"/>
  <c r="L147" i="18" s="1"/>
  <c r="I98" i="18"/>
  <c r="J98" i="18" s="1"/>
  <c r="L98" i="18" s="1"/>
  <c r="I109" i="18"/>
  <c r="J109" i="18" s="1"/>
  <c r="L109" i="18" s="1"/>
  <c r="I46" i="18"/>
  <c r="J46" i="18" s="1"/>
  <c r="L46" i="18" s="1"/>
  <c r="I70" i="18"/>
  <c r="J70" i="18" s="1"/>
  <c r="L70" i="18" s="1"/>
  <c r="I125" i="18"/>
  <c r="J125" i="18" s="1"/>
  <c r="L125" i="18" s="1"/>
  <c r="I92" i="18"/>
  <c r="J92" i="18" s="1"/>
  <c r="L92" i="18" s="1"/>
  <c r="I122" i="18"/>
  <c r="J122" i="18" s="1"/>
  <c r="L122" i="18" s="1"/>
  <c r="I167" i="18"/>
  <c r="J167" i="18" s="1"/>
  <c r="L167" i="18" s="1"/>
  <c r="I182" i="18"/>
  <c r="J182" i="18" s="1"/>
  <c r="L182" i="18" s="1"/>
  <c r="I164" i="18"/>
  <c r="J164" i="18" s="1"/>
  <c r="L164" i="18" s="1"/>
  <c r="I199" i="18"/>
  <c r="J199" i="18" s="1"/>
  <c r="L199" i="18" s="1"/>
  <c r="I55" i="18"/>
  <c r="J55" i="18" s="1"/>
  <c r="L55" i="18" s="1"/>
  <c r="I112" i="18"/>
  <c r="J112" i="18" s="1"/>
  <c r="L112" i="18" s="1"/>
  <c r="I108" i="18"/>
  <c r="J108" i="18" s="1"/>
  <c r="L108" i="18" s="1"/>
  <c r="I101" i="18"/>
  <c r="J101" i="18" s="1"/>
  <c r="L101" i="18" s="1"/>
  <c r="I29" i="18"/>
  <c r="J29" i="18" s="1"/>
  <c r="L29" i="18" s="1"/>
  <c r="I68" i="18"/>
  <c r="J68" i="18" s="1"/>
  <c r="L68" i="18" s="1"/>
  <c r="I131" i="18"/>
  <c r="J131" i="18" s="1"/>
  <c r="L131" i="18" s="1"/>
  <c r="I61" i="18"/>
  <c r="J61" i="18" s="1"/>
  <c r="L61" i="18" s="1"/>
  <c r="I160" i="18"/>
  <c r="J160" i="18" s="1"/>
  <c r="L160" i="18" s="1"/>
  <c r="I95" i="18"/>
  <c r="J95" i="18" s="1"/>
  <c r="L95" i="18" s="1"/>
  <c r="I38" i="18"/>
  <c r="J38" i="18" s="1"/>
  <c r="L38" i="18" s="1"/>
  <c r="I86" i="18"/>
  <c r="J86" i="18" s="1"/>
  <c r="L86" i="18" s="1"/>
  <c r="I141" i="18"/>
  <c r="J141" i="18" s="1"/>
  <c r="L141" i="18" s="1"/>
  <c r="I107" i="18"/>
  <c r="J107" i="18" s="1"/>
  <c r="L107" i="18" s="1"/>
  <c r="I127" i="18"/>
  <c r="J127" i="18" s="1"/>
  <c r="L127" i="18" s="1"/>
  <c r="I151" i="18"/>
  <c r="J151" i="18" s="1"/>
  <c r="L151" i="18" s="1"/>
  <c r="I57" i="18"/>
  <c r="J57" i="18" s="1"/>
  <c r="L57" i="18" s="1"/>
  <c r="I33" i="18"/>
  <c r="J33" i="18" s="1"/>
  <c r="L33" i="18" s="1"/>
  <c r="I113" i="18"/>
  <c r="J113" i="18" s="1"/>
  <c r="L113" i="18" s="1"/>
  <c r="I99" i="18"/>
  <c r="J99" i="18" s="1"/>
  <c r="L99" i="18" s="1"/>
  <c r="I211" i="18"/>
  <c r="J211" i="18" s="1"/>
  <c r="L211" i="18" s="1"/>
  <c r="I126" i="18"/>
  <c r="J126" i="18" s="1"/>
  <c r="L126" i="18" s="1"/>
  <c r="I145" i="18"/>
  <c r="J145" i="18" s="1"/>
  <c r="L145" i="18" s="1"/>
  <c r="I88" i="18"/>
  <c r="J88" i="18" s="1"/>
  <c r="L88" i="18" s="1"/>
  <c r="I119" i="18"/>
  <c r="J119" i="18" s="1"/>
  <c r="L119" i="18" s="1"/>
  <c r="I106" i="18"/>
  <c r="J106" i="18" s="1"/>
  <c r="L106" i="18" s="1"/>
  <c r="I93" i="18"/>
  <c r="J93" i="18" s="1"/>
  <c r="L93" i="18" s="1"/>
  <c r="I60" i="18"/>
  <c r="J60" i="18" s="1"/>
  <c r="L60" i="18" s="1"/>
  <c r="I176" i="18"/>
  <c r="J176" i="18" s="1"/>
  <c r="L176" i="18" s="1"/>
  <c r="I97" i="18"/>
  <c r="J97" i="18" s="1"/>
  <c r="L97" i="18" s="1"/>
  <c r="I63" i="18"/>
  <c r="J63" i="18" s="1"/>
  <c r="L63" i="18" s="1"/>
  <c r="I96" i="18"/>
  <c r="J96" i="18" s="1"/>
  <c r="L96" i="18" s="1"/>
  <c r="I136" i="18"/>
  <c r="J136" i="18" s="1"/>
  <c r="L136" i="18" s="1"/>
  <c r="I128" i="18"/>
  <c r="J128" i="18" s="1"/>
  <c r="L128" i="18" s="1"/>
  <c r="I153" i="18"/>
  <c r="J153" i="18" s="1"/>
  <c r="L153" i="18" s="1"/>
  <c r="I64" i="18"/>
  <c r="J64" i="18" s="1"/>
  <c r="L64" i="18" s="1"/>
  <c r="I69" i="18"/>
  <c r="J69" i="18" s="1"/>
  <c r="L69" i="18" s="1"/>
  <c r="I135" i="18"/>
  <c r="J135" i="18" s="1"/>
  <c r="L135" i="18" s="1"/>
  <c r="I178" i="18"/>
  <c r="J178" i="18" s="1"/>
  <c r="L178" i="18" s="1"/>
  <c r="I111" i="18"/>
  <c r="J111" i="18" s="1"/>
  <c r="L111" i="18" s="1"/>
  <c r="I161" i="18"/>
  <c r="J161" i="18" s="1"/>
  <c r="L161" i="18" s="1"/>
  <c r="I67" i="18"/>
  <c r="J67" i="18" s="1"/>
  <c r="L67" i="18" s="1"/>
  <c r="I27" i="18"/>
  <c r="J27" i="18" s="1"/>
  <c r="L27" i="18" s="1"/>
  <c r="I208" i="18"/>
  <c r="J208" i="18" s="1"/>
  <c r="L208" i="18" s="1"/>
  <c r="I179" i="18"/>
  <c r="J179" i="18" s="1"/>
  <c r="L179" i="18" s="1"/>
  <c r="I146" i="18"/>
  <c r="J146" i="18" s="1"/>
  <c r="L146" i="18" s="1"/>
  <c r="I169" i="18"/>
  <c r="J169" i="18" s="1"/>
  <c r="L169" i="18" s="1"/>
  <c r="I42" i="18"/>
  <c r="J42" i="18" s="1"/>
  <c r="L42" i="18" s="1"/>
  <c r="I41" i="18"/>
  <c r="J41" i="18" s="1"/>
  <c r="L41" i="18" s="1"/>
  <c r="I187" i="18"/>
  <c r="J187" i="18" s="1"/>
  <c r="L187" i="18" s="1"/>
  <c r="I72" i="18"/>
  <c r="J72" i="18" s="1"/>
  <c r="L72" i="18" s="1"/>
  <c r="I203" i="18"/>
  <c r="J203" i="18" s="1"/>
  <c r="L203" i="18" s="1"/>
  <c r="I54" i="18"/>
  <c r="J54" i="18" s="1"/>
  <c r="L54" i="18" s="1"/>
  <c r="I22" i="18"/>
  <c r="J22" i="18" s="1"/>
  <c r="L22" i="18" s="1"/>
  <c r="I207" i="18"/>
  <c r="J207" i="18" s="1"/>
  <c r="L207" i="18" s="1"/>
  <c r="I124" i="18"/>
  <c r="J124" i="18" s="1"/>
  <c r="L124" i="18" s="1"/>
  <c r="I28" i="18"/>
  <c r="J28" i="18" s="1"/>
  <c r="L28" i="18" s="1"/>
  <c r="I65" i="18"/>
  <c r="J65" i="18" s="1"/>
  <c r="L65" i="18" s="1"/>
  <c r="I31" i="18"/>
  <c r="J31" i="18" s="1"/>
  <c r="L31" i="18" s="1"/>
  <c r="I40" i="18"/>
  <c r="J40" i="18" s="1"/>
  <c r="L40" i="18" s="1"/>
  <c r="I114" i="18"/>
  <c r="J114" i="18" s="1"/>
  <c r="L114" i="18" s="1"/>
  <c r="I148" i="18"/>
  <c r="J148" i="18" s="1"/>
  <c r="L148" i="18" s="1"/>
  <c r="I62" i="18"/>
  <c r="J62" i="18" s="1"/>
  <c r="L62" i="18" s="1"/>
  <c r="I197" i="18"/>
  <c r="J197" i="18" s="1"/>
  <c r="L197" i="18" s="1"/>
  <c r="I166" i="18"/>
  <c r="J166" i="18" s="1"/>
  <c r="L166" i="18" s="1"/>
  <c r="I85" i="18"/>
  <c r="J85" i="18" s="1"/>
  <c r="L85" i="18" s="1"/>
  <c r="I156" i="18"/>
  <c r="J156" i="18" s="1"/>
  <c r="L156" i="18" s="1"/>
  <c r="I123" i="18"/>
  <c r="J123" i="18" s="1"/>
  <c r="L123" i="18" s="1"/>
  <c r="I154" i="18"/>
  <c r="J154" i="18" s="1"/>
  <c r="L154" i="18" s="1"/>
  <c r="I149" i="18"/>
  <c r="J149" i="18" s="1"/>
  <c r="L149" i="18" s="1"/>
  <c r="I171" i="18"/>
  <c r="J171" i="18" s="1"/>
  <c r="L171" i="18" s="1"/>
  <c r="I59" i="18"/>
  <c r="J59" i="18" s="1"/>
  <c r="L59" i="18" s="1"/>
  <c r="I195" i="18"/>
  <c r="J195" i="18" s="1"/>
  <c r="L195" i="18" s="1"/>
  <c r="I165" i="18"/>
  <c r="J165" i="18" s="1"/>
  <c r="L165" i="18" s="1"/>
  <c r="I181" i="18"/>
  <c r="J181" i="18" s="1"/>
  <c r="L181" i="18" s="1"/>
  <c r="I71" i="18"/>
  <c r="J71" i="18" s="1"/>
  <c r="L71" i="18" s="1"/>
  <c r="I143" i="18"/>
  <c r="J143" i="18" s="1"/>
  <c r="L143" i="18" s="1"/>
  <c r="I180" i="18"/>
  <c r="J180" i="18" s="1"/>
  <c r="L180" i="18" s="1"/>
  <c r="I36" i="18"/>
  <c r="J36" i="18" s="1"/>
  <c r="L36" i="18" s="1"/>
  <c r="I20" i="18"/>
  <c r="J20" i="18" s="1"/>
  <c r="I206" i="18"/>
  <c r="J206" i="18" s="1"/>
  <c r="L206" i="18" s="1"/>
  <c r="I43" i="18"/>
  <c r="J43" i="18" s="1"/>
  <c r="L43" i="18" s="1"/>
  <c r="I45" i="18"/>
  <c r="J45" i="18" s="1"/>
  <c r="L45" i="18" s="1"/>
  <c r="I74" i="18"/>
  <c r="J74" i="18" s="1"/>
  <c r="L74" i="18" s="1"/>
  <c r="I78" i="18"/>
  <c r="J78" i="18" s="1"/>
  <c r="L78" i="18" s="1"/>
  <c r="I190" i="18"/>
  <c r="J190" i="18" s="1"/>
  <c r="L190" i="18" s="1"/>
  <c r="I198" i="18"/>
  <c r="J198" i="18" s="1"/>
  <c r="L198" i="18" s="1"/>
  <c r="I34" i="18"/>
  <c r="J34" i="18" s="1"/>
  <c r="L34" i="18" s="1"/>
  <c r="I205" i="18"/>
  <c r="J205" i="18" s="1"/>
  <c r="L205" i="18" s="1"/>
  <c r="I116" i="18"/>
  <c r="J116" i="18" s="1"/>
  <c r="L116" i="18" s="1"/>
  <c r="I76" i="18"/>
  <c r="J76" i="18" s="1"/>
  <c r="L76" i="18" s="1"/>
  <c r="I163" i="18"/>
  <c r="J163" i="18" s="1"/>
  <c r="L163" i="18" s="1"/>
  <c r="I105" i="18"/>
  <c r="J105" i="18" s="1"/>
  <c r="L105" i="18" s="1"/>
  <c r="I174" i="18"/>
  <c r="J174" i="18" s="1"/>
  <c r="L174" i="18" s="1"/>
  <c r="I159" i="18"/>
  <c r="J159" i="18" s="1"/>
  <c r="L159" i="18" s="1"/>
  <c r="I186" i="18"/>
  <c r="J186" i="18" s="1"/>
  <c r="L186" i="18" s="1"/>
  <c r="I26" i="18"/>
  <c r="J26" i="18" s="1"/>
  <c r="L26" i="18" s="1"/>
  <c r="I173" i="18"/>
  <c r="J173" i="18" s="1"/>
  <c r="L173" i="18" s="1"/>
  <c r="I49" i="18"/>
  <c r="J49" i="18" s="1"/>
  <c r="L49" i="18" s="1"/>
  <c r="I104" i="18"/>
  <c r="J104" i="18" s="1"/>
  <c r="L104" i="18" s="1"/>
  <c r="I66" i="18"/>
  <c r="J66" i="18" s="1"/>
  <c r="L66" i="18" s="1"/>
  <c r="I177" i="18"/>
  <c r="J177" i="18" s="1"/>
  <c r="L177" i="18" s="1"/>
  <c r="I24" i="18"/>
  <c r="J24" i="18" s="1"/>
  <c r="L24" i="18" s="1"/>
  <c r="I82" i="18"/>
  <c r="J82" i="18" s="1"/>
  <c r="L82" i="18" s="1"/>
  <c r="I184" i="18"/>
  <c r="J184" i="18" s="1"/>
  <c r="L184" i="18" s="1"/>
  <c r="I56" i="18"/>
  <c r="J56" i="18" s="1"/>
  <c r="I83" i="18"/>
  <c r="J83" i="18" s="1"/>
  <c r="L83" i="18" s="1"/>
  <c r="I202" i="18"/>
  <c r="J202" i="18" s="1"/>
  <c r="L202" i="18" s="1"/>
  <c r="I50" i="18"/>
  <c r="J50" i="18" s="1"/>
  <c r="L50" i="18" s="1"/>
  <c r="I192" i="18"/>
  <c r="J192" i="18" s="1"/>
  <c r="L192" i="18" s="1"/>
  <c r="I32" i="18"/>
  <c r="J32" i="18" s="1"/>
  <c r="L32" i="18" s="1"/>
  <c r="I185" i="18"/>
  <c r="J185" i="18" s="1"/>
  <c r="L185" i="18" s="1"/>
  <c r="I51" i="18"/>
  <c r="J51" i="18" s="1"/>
  <c r="L51" i="18" s="1"/>
  <c r="I194" i="18"/>
  <c r="J194" i="18" s="1"/>
  <c r="L194" i="18" s="1"/>
  <c r="I52" i="18"/>
  <c r="J52" i="18" s="1"/>
  <c r="L52" i="18" s="1"/>
  <c r="I120" i="18"/>
  <c r="J120" i="18" s="1"/>
  <c r="L120" i="18" s="1"/>
  <c r="I79" i="18"/>
  <c r="J79" i="18" s="1"/>
  <c r="L79" i="18" s="1"/>
  <c r="I25" i="18"/>
  <c r="J25" i="18" s="1"/>
  <c r="L25" i="18" s="1"/>
  <c r="I193" i="18"/>
  <c r="J193" i="18" s="1"/>
  <c r="L193" i="18" s="1"/>
  <c r="I155" i="18"/>
  <c r="J155" i="18" s="1"/>
  <c r="L155" i="18" s="1"/>
  <c r="I183" i="18"/>
  <c r="J183" i="18" s="1"/>
  <c r="L183" i="18" s="1"/>
  <c r="I53" i="18"/>
  <c r="J53" i="18" s="1"/>
  <c r="L53" i="18" s="1"/>
  <c r="I168" i="18"/>
  <c r="J168" i="18" s="1"/>
  <c r="L168" i="18" s="1"/>
  <c r="I39" i="18"/>
  <c r="J39" i="18" s="1"/>
  <c r="L39" i="18" s="1"/>
  <c r="I158" i="18"/>
  <c r="J158" i="18" s="1"/>
  <c r="L158" i="18" s="1"/>
  <c r="I103" i="18"/>
  <c r="J103" i="18" s="1"/>
  <c r="L103" i="18" s="1"/>
  <c r="I87" i="18"/>
  <c r="J87" i="18" s="1"/>
  <c r="L87" i="18" s="1"/>
  <c r="I150" i="18"/>
  <c r="J150" i="18" s="1"/>
  <c r="L150" i="18" s="1"/>
  <c r="I81" i="18"/>
  <c r="J81" i="18" s="1"/>
  <c r="L81" i="18" s="1"/>
  <c r="I140" i="18"/>
  <c r="J140" i="18" s="1"/>
  <c r="L140" i="18" s="1"/>
  <c r="I48" i="18"/>
  <c r="J48" i="18" s="1"/>
  <c r="L48" i="18" s="1"/>
  <c r="I44" i="18"/>
  <c r="J44" i="18" s="1"/>
  <c r="L44" i="18" s="1"/>
  <c r="I21" i="18"/>
  <c r="J21" i="18" s="1"/>
  <c r="L21" i="18" s="1"/>
  <c r="I189" i="18"/>
  <c r="J189" i="18" s="1"/>
  <c r="L189" i="18" s="1"/>
  <c r="I80" i="18"/>
  <c r="J80" i="18" s="1"/>
  <c r="L80" i="18" s="1"/>
  <c r="I191" i="18"/>
  <c r="J191" i="18" s="1"/>
  <c r="L191" i="18" s="1"/>
  <c r="I23" i="18"/>
  <c r="J23" i="18" s="1"/>
  <c r="L23" i="18" s="1"/>
  <c r="I162" i="18"/>
  <c r="J162" i="18" s="1"/>
  <c r="L162" i="18" s="1"/>
  <c r="I84" i="18"/>
  <c r="J84" i="18" s="1"/>
  <c r="L84" i="18" s="1"/>
  <c r="I121" i="18"/>
  <c r="J121" i="18" s="1"/>
  <c r="L121" i="18" s="1"/>
  <c r="I172" i="18"/>
  <c r="J172" i="18" s="1"/>
  <c r="L172" i="18" s="1"/>
  <c r="I139" i="18"/>
  <c r="J139" i="18" s="1"/>
  <c r="L139" i="18" s="1"/>
  <c r="I90" i="18"/>
  <c r="J90" i="18" s="1"/>
  <c r="L90" i="18" s="1"/>
  <c r="I137" i="18"/>
  <c r="J137" i="18" s="1"/>
  <c r="L137" i="18" s="1"/>
  <c r="I152" i="18"/>
  <c r="J152" i="18" s="1"/>
  <c r="L152" i="18" s="1"/>
  <c r="I115" i="18"/>
  <c r="J115" i="18" s="1"/>
  <c r="L115" i="18" s="1"/>
  <c r="I91" i="18"/>
  <c r="J91" i="18" s="1"/>
  <c r="L91" i="18" s="1"/>
  <c r="I58" i="18"/>
  <c r="J58" i="18" s="1"/>
  <c r="L58" i="18" s="1"/>
  <c r="F14" i="29"/>
  <c r="I132" i="18"/>
  <c r="J132" i="18" s="1"/>
  <c r="L132" i="18" s="1"/>
  <c r="L20" i="18" l="1"/>
  <c r="J212" i="18"/>
  <c r="J14" i="18"/>
  <c r="J13" i="18"/>
  <c r="L56" i="18"/>
  <c r="L13" i="18" l="1"/>
  <c r="L14" i="18"/>
  <c r="L212" i="18"/>
  <c r="M154" i="18" l="1"/>
  <c r="N154" i="18" s="1"/>
  <c r="R154" i="18" s="1"/>
  <c r="M37" i="18"/>
  <c r="N37" i="18" s="1"/>
  <c r="R37" i="18" s="1"/>
  <c r="M195" i="18"/>
  <c r="N195" i="18" s="1"/>
  <c r="R195" i="18" s="1"/>
  <c r="M78" i="18"/>
  <c r="N78" i="18" s="1"/>
  <c r="R78" i="18" s="1"/>
  <c r="M53" i="18"/>
  <c r="N53" i="18" s="1"/>
  <c r="R53" i="18" s="1"/>
  <c r="M147" i="18"/>
  <c r="N147" i="18" s="1"/>
  <c r="R147" i="18" s="1"/>
  <c r="M100" i="18"/>
  <c r="N100" i="18" s="1"/>
  <c r="R100" i="18" s="1"/>
  <c r="M104" i="18"/>
  <c r="N104" i="18" s="1"/>
  <c r="R104" i="18" s="1"/>
  <c r="M136" i="18"/>
  <c r="N136" i="18" s="1"/>
  <c r="R136" i="18" s="1"/>
  <c r="M127" i="18"/>
  <c r="N127" i="18" s="1"/>
  <c r="R127" i="18" s="1"/>
  <c r="M55" i="18"/>
  <c r="N55" i="18" s="1"/>
  <c r="R55" i="18" s="1"/>
  <c r="M205" i="18"/>
  <c r="N205" i="18" s="1"/>
  <c r="R205" i="18" s="1"/>
  <c r="M57" i="18"/>
  <c r="N57" i="18" s="1"/>
  <c r="R57" i="18" s="1"/>
  <c r="M141" i="18"/>
  <c r="N141" i="18" s="1"/>
  <c r="R141" i="18" s="1"/>
  <c r="M51" i="18"/>
  <c r="N51" i="18" s="1"/>
  <c r="R51" i="18" s="1"/>
  <c r="M186" i="18"/>
  <c r="N186" i="18" s="1"/>
  <c r="R186" i="18" s="1"/>
  <c r="M25" i="18"/>
  <c r="N25" i="18" s="1"/>
  <c r="R25" i="18" s="1"/>
  <c r="M80" i="18"/>
  <c r="N80" i="18" s="1"/>
  <c r="R80" i="18" s="1"/>
  <c r="M209" i="18"/>
  <c r="N209" i="18" s="1"/>
  <c r="R209" i="18" s="1"/>
  <c r="M160" i="18"/>
  <c r="N160" i="18" s="1"/>
  <c r="R160" i="18" s="1"/>
  <c r="M124" i="18"/>
  <c r="N124" i="18" s="1"/>
  <c r="R124" i="18" s="1"/>
  <c r="M81" i="18"/>
  <c r="N81" i="18" s="1"/>
  <c r="R81" i="18" s="1"/>
  <c r="M103" i="18"/>
  <c r="N103" i="18" s="1"/>
  <c r="R103" i="18" s="1"/>
  <c r="M46" i="18"/>
  <c r="N46" i="18" s="1"/>
  <c r="R46" i="18" s="1"/>
  <c r="M35" i="18"/>
  <c r="N35" i="18" s="1"/>
  <c r="R35" i="18" s="1"/>
  <c r="M137" i="18"/>
  <c r="N137" i="18" s="1"/>
  <c r="R137" i="18" s="1"/>
  <c r="M189" i="18"/>
  <c r="N189" i="18" s="1"/>
  <c r="R189" i="18" s="1"/>
  <c r="M157" i="18"/>
  <c r="N157" i="18" s="1"/>
  <c r="R157" i="18" s="1"/>
  <c r="M112" i="18"/>
  <c r="N112" i="18" s="1"/>
  <c r="R112" i="18" s="1"/>
  <c r="M102" i="18"/>
  <c r="N102" i="18" s="1"/>
  <c r="R102" i="18" s="1"/>
  <c r="M182" i="18"/>
  <c r="N182" i="18" s="1"/>
  <c r="R182" i="18" s="1"/>
  <c r="M203" i="18"/>
  <c r="N203" i="18" s="1"/>
  <c r="R203" i="18" s="1"/>
  <c r="M119" i="18"/>
  <c r="N119" i="18" s="1"/>
  <c r="R119" i="18" s="1"/>
  <c r="M201" i="18"/>
  <c r="N201" i="18" s="1"/>
  <c r="R201" i="18" s="1"/>
  <c r="M163" i="18"/>
  <c r="N163" i="18" s="1"/>
  <c r="R163" i="18" s="1"/>
  <c r="M82" i="18"/>
  <c r="N82" i="18" s="1"/>
  <c r="R82" i="18" s="1"/>
  <c r="M22" i="18"/>
  <c r="N22" i="18" s="1"/>
  <c r="R22" i="18" s="1"/>
  <c r="M31" i="18"/>
  <c r="N31" i="18" s="1"/>
  <c r="R31" i="18" s="1"/>
  <c r="M52" i="18"/>
  <c r="N52" i="18" s="1"/>
  <c r="R52" i="18" s="1"/>
  <c r="M86" i="18"/>
  <c r="N86" i="18" s="1"/>
  <c r="R86" i="18" s="1"/>
  <c r="M114" i="18"/>
  <c r="N114" i="18" s="1"/>
  <c r="R114" i="18" s="1"/>
  <c r="M95" i="18"/>
  <c r="N95" i="18" s="1"/>
  <c r="R95" i="18" s="1"/>
  <c r="M144" i="18"/>
  <c r="N144" i="18" s="1"/>
  <c r="R144" i="18" s="1"/>
  <c r="M135" i="18"/>
  <c r="N135" i="18" s="1"/>
  <c r="R135" i="18" s="1"/>
  <c r="M171" i="18"/>
  <c r="N171" i="18" s="1"/>
  <c r="R171" i="18" s="1"/>
  <c r="M168" i="18"/>
  <c r="N168" i="18" s="1"/>
  <c r="R168" i="18" s="1"/>
  <c r="M120" i="18"/>
  <c r="N120" i="18" s="1"/>
  <c r="R120" i="18" s="1"/>
  <c r="M79" i="18"/>
  <c r="N79" i="18" s="1"/>
  <c r="R79" i="18" s="1"/>
  <c r="M140" i="18"/>
  <c r="N140" i="18" s="1"/>
  <c r="R140" i="18" s="1"/>
  <c r="M193" i="18"/>
  <c r="N193" i="18" s="1"/>
  <c r="R193" i="18" s="1"/>
  <c r="M89" i="18"/>
  <c r="N89" i="18" s="1"/>
  <c r="R89" i="18" s="1"/>
  <c r="M116" i="18"/>
  <c r="N116" i="18" s="1"/>
  <c r="R116" i="18" s="1"/>
  <c r="M206" i="18"/>
  <c r="N206" i="18" s="1"/>
  <c r="R206" i="18" s="1"/>
  <c r="M60" i="18"/>
  <c r="N60" i="18" s="1"/>
  <c r="R60" i="18" s="1"/>
  <c r="M170" i="18"/>
  <c r="N170" i="18" s="1"/>
  <c r="R170" i="18" s="1"/>
  <c r="M64" i="18"/>
  <c r="N64" i="18" s="1"/>
  <c r="R64" i="18" s="1"/>
  <c r="M110" i="18"/>
  <c r="N110" i="18" s="1"/>
  <c r="R110" i="18" s="1"/>
  <c r="M150" i="18"/>
  <c r="N150" i="18" s="1"/>
  <c r="R150" i="18" s="1"/>
  <c r="M56" i="18"/>
  <c r="M162" i="18"/>
  <c r="N162" i="18" s="1"/>
  <c r="R162" i="18" s="1"/>
  <c r="M71" i="18"/>
  <c r="N71" i="18" s="1"/>
  <c r="R71" i="18" s="1"/>
  <c r="M174" i="18"/>
  <c r="N174" i="18" s="1"/>
  <c r="R174" i="18" s="1"/>
  <c r="M132" i="18"/>
  <c r="N132" i="18" s="1"/>
  <c r="R132" i="18" s="1"/>
  <c r="M153" i="18"/>
  <c r="N153" i="18" s="1"/>
  <c r="R153" i="18" s="1"/>
  <c r="M196" i="18"/>
  <c r="N196" i="18" s="1"/>
  <c r="R196" i="18" s="1"/>
  <c r="M77" i="18"/>
  <c r="N77" i="18" s="1"/>
  <c r="R77" i="18" s="1"/>
  <c r="M194" i="18"/>
  <c r="N194" i="18" s="1"/>
  <c r="R194" i="18" s="1"/>
  <c r="M68" i="18"/>
  <c r="N68" i="18" s="1"/>
  <c r="R68" i="18" s="1"/>
  <c r="M48" i="18"/>
  <c r="N48" i="18" s="1"/>
  <c r="R48" i="18" s="1"/>
  <c r="M23" i="18"/>
  <c r="N23" i="18" s="1"/>
  <c r="R23" i="18" s="1"/>
  <c r="M62" i="18"/>
  <c r="N62" i="18" s="1"/>
  <c r="R62" i="18" s="1"/>
  <c r="M54" i="18"/>
  <c r="N54" i="18" s="1"/>
  <c r="R54" i="18" s="1"/>
  <c r="M211" i="18"/>
  <c r="N211" i="18" s="1"/>
  <c r="R211" i="18" s="1"/>
  <c r="M183" i="18"/>
  <c r="N183" i="18" s="1"/>
  <c r="R183" i="18" s="1"/>
  <c r="M69" i="18"/>
  <c r="N69" i="18" s="1"/>
  <c r="R69" i="18" s="1"/>
  <c r="M173" i="18"/>
  <c r="N173" i="18" s="1"/>
  <c r="R173" i="18" s="1"/>
  <c r="M66" i="18"/>
  <c r="N66" i="18" s="1"/>
  <c r="R66" i="18" s="1"/>
  <c r="M172" i="18"/>
  <c r="N172" i="18" s="1"/>
  <c r="R172" i="18" s="1"/>
  <c r="M85" i="18"/>
  <c r="N85" i="18" s="1"/>
  <c r="R85" i="18" s="1"/>
  <c r="M156" i="18"/>
  <c r="N156" i="18" s="1"/>
  <c r="R156" i="18" s="1"/>
  <c r="M93" i="18"/>
  <c r="N93" i="18" s="1"/>
  <c r="R93" i="18" s="1"/>
  <c r="M188" i="18"/>
  <c r="N188" i="18" s="1"/>
  <c r="R188" i="18" s="1"/>
  <c r="M149" i="18"/>
  <c r="N149" i="18" s="1"/>
  <c r="R149" i="18" s="1"/>
  <c r="M44" i="18"/>
  <c r="N44" i="18" s="1"/>
  <c r="R44" i="18" s="1"/>
  <c r="M21" i="18"/>
  <c r="N21" i="18" s="1"/>
  <c r="R21" i="18" s="1"/>
  <c r="M34" i="18"/>
  <c r="N34" i="18" s="1"/>
  <c r="R34" i="18" s="1"/>
  <c r="M113" i="18"/>
  <c r="N113" i="18" s="1"/>
  <c r="R113" i="18" s="1"/>
  <c r="M70" i="18"/>
  <c r="N70" i="18" s="1"/>
  <c r="R70" i="18" s="1"/>
  <c r="M27" i="18"/>
  <c r="N27" i="18" s="1"/>
  <c r="R27" i="18" s="1"/>
  <c r="M145" i="18"/>
  <c r="N145" i="18" s="1"/>
  <c r="R145" i="18" s="1"/>
  <c r="M192" i="18"/>
  <c r="N192" i="18" s="1"/>
  <c r="R192" i="18" s="1"/>
  <c r="M33" i="18"/>
  <c r="N33" i="18" s="1"/>
  <c r="R33" i="18" s="1"/>
  <c r="M210" i="18"/>
  <c r="N210" i="18" s="1"/>
  <c r="R210" i="18" s="1"/>
  <c r="M26" i="18"/>
  <c r="N26" i="18" s="1"/>
  <c r="R26" i="18" s="1"/>
  <c r="M184" i="18"/>
  <c r="N184" i="18" s="1"/>
  <c r="R184" i="18" s="1"/>
  <c r="M208" i="18"/>
  <c r="N208" i="18" s="1"/>
  <c r="R208" i="18" s="1"/>
  <c r="M180" i="18"/>
  <c r="N180" i="18" s="1"/>
  <c r="R180" i="18" s="1"/>
  <c r="M177" i="18"/>
  <c r="N177" i="18" s="1"/>
  <c r="R177" i="18" s="1"/>
  <c r="M198" i="18"/>
  <c r="N198" i="18" s="1"/>
  <c r="R198" i="18" s="1"/>
  <c r="M30" i="18"/>
  <c r="N30" i="18" s="1"/>
  <c r="R30" i="18" s="1"/>
  <c r="M117" i="18"/>
  <c r="N117" i="18" s="1"/>
  <c r="R117" i="18" s="1"/>
  <c r="M207" i="18"/>
  <c r="N207" i="18" s="1"/>
  <c r="R207" i="18" s="1"/>
  <c r="M87" i="18"/>
  <c r="N87" i="18" s="1"/>
  <c r="R87" i="18" s="1"/>
  <c r="M169" i="18"/>
  <c r="N169" i="18" s="1"/>
  <c r="R169" i="18" s="1"/>
  <c r="M181" i="18"/>
  <c r="N181" i="18" s="1"/>
  <c r="R181" i="18" s="1"/>
  <c r="M148" i="18"/>
  <c r="N148" i="18" s="1"/>
  <c r="R148" i="18" s="1"/>
  <c r="M49" i="18"/>
  <c r="N49" i="18" s="1"/>
  <c r="R49" i="18" s="1"/>
  <c r="M92" i="18"/>
  <c r="N92" i="18" s="1"/>
  <c r="R92" i="18" s="1"/>
  <c r="M176" i="18"/>
  <c r="N176" i="18" s="1"/>
  <c r="R176" i="18" s="1"/>
  <c r="M129" i="18"/>
  <c r="N129" i="18" s="1"/>
  <c r="R129" i="18" s="1"/>
  <c r="M72" i="18"/>
  <c r="N72" i="18" s="1"/>
  <c r="R72" i="18" s="1"/>
  <c r="M24" i="18"/>
  <c r="N24" i="18" s="1"/>
  <c r="R24" i="18" s="1"/>
  <c r="M179" i="18"/>
  <c r="N179" i="18" s="1"/>
  <c r="R179" i="18" s="1"/>
  <c r="M146" i="18"/>
  <c r="N146" i="18" s="1"/>
  <c r="R146" i="18" s="1"/>
  <c r="M175" i="18"/>
  <c r="N175" i="18" s="1"/>
  <c r="R175" i="18" s="1"/>
  <c r="M164" i="18"/>
  <c r="N164" i="18" s="1"/>
  <c r="R164" i="18" s="1"/>
  <c r="M39" i="18"/>
  <c r="N39" i="18" s="1"/>
  <c r="R39" i="18" s="1"/>
  <c r="M151" i="18"/>
  <c r="N151" i="18" s="1"/>
  <c r="R151" i="18" s="1"/>
  <c r="M155" i="18"/>
  <c r="N155" i="18" s="1"/>
  <c r="R155" i="18" s="1"/>
  <c r="M88" i="18"/>
  <c r="N88" i="18" s="1"/>
  <c r="R88" i="18" s="1"/>
  <c r="M29" i="18"/>
  <c r="N29" i="18" s="1"/>
  <c r="R29" i="18" s="1"/>
  <c r="M96" i="18"/>
  <c r="N96" i="18" s="1"/>
  <c r="R96" i="18" s="1"/>
  <c r="M36" i="18"/>
  <c r="N36" i="18" s="1"/>
  <c r="R36" i="18" s="1"/>
  <c r="M123" i="18"/>
  <c r="N123" i="18" s="1"/>
  <c r="R123" i="18" s="1"/>
  <c r="M73" i="18"/>
  <c r="N73" i="18" s="1"/>
  <c r="R73" i="18" s="1"/>
  <c r="M47" i="18"/>
  <c r="N47" i="18" s="1"/>
  <c r="R47" i="18" s="1"/>
  <c r="M158" i="18"/>
  <c r="N158" i="18" s="1"/>
  <c r="R158" i="18" s="1"/>
  <c r="M161" i="18"/>
  <c r="N161" i="18" s="1"/>
  <c r="R161" i="18" s="1"/>
  <c r="M121" i="18"/>
  <c r="N121" i="18" s="1"/>
  <c r="R121" i="18" s="1"/>
  <c r="M45" i="18"/>
  <c r="N45" i="18" s="1"/>
  <c r="R45" i="18" s="1"/>
  <c r="M20" i="18"/>
  <c r="M204" i="18"/>
  <c r="N204" i="18" s="1"/>
  <c r="R204" i="18" s="1"/>
  <c r="M166" i="18"/>
  <c r="N166" i="18" s="1"/>
  <c r="R166" i="18" s="1"/>
  <c r="M97" i="18"/>
  <c r="N97" i="18" s="1"/>
  <c r="R97" i="18" s="1"/>
  <c r="M75" i="18"/>
  <c r="N75" i="18" s="1"/>
  <c r="R75" i="18" s="1"/>
  <c r="M50" i="18"/>
  <c r="N50" i="18" s="1"/>
  <c r="R50" i="18" s="1"/>
  <c r="M199" i="18"/>
  <c r="N199" i="18" s="1"/>
  <c r="R199" i="18" s="1"/>
  <c r="M42" i="18"/>
  <c r="N42" i="18" s="1"/>
  <c r="R42" i="18" s="1"/>
  <c r="M90" i="18"/>
  <c r="N90" i="18" s="1"/>
  <c r="R90" i="18" s="1"/>
  <c r="M128" i="18"/>
  <c r="N128" i="18" s="1"/>
  <c r="R128" i="18" s="1"/>
  <c r="M101" i="18"/>
  <c r="N101" i="18" s="1"/>
  <c r="R101" i="18" s="1"/>
  <c r="M133" i="18"/>
  <c r="N133" i="18" s="1"/>
  <c r="R133" i="18" s="1"/>
  <c r="M187" i="18"/>
  <c r="N187" i="18" s="1"/>
  <c r="R187" i="18" s="1"/>
  <c r="M67" i="18"/>
  <c r="N67" i="18" s="1"/>
  <c r="R67" i="18" s="1"/>
  <c r="M125" i="18"/>
  <c r="N125" i="18" s="1"/>
  <c r="R125" i="18" s="1"/>
  <c r="M122" i="18"/>
  <c r="N122" i="18" s="1"/>
  <c r="R122" i="18" s="1"/>
  <c r="M200" i="18"/>
  <c r="N200" i="18" s="1"/>
  <c r="R200" i="18" s="1"/>
  <c r="M178" i="18"/>
  <c r="N178" i="18" s="1"/>
  <c r="R178" i="18" s="1"/>
  <c r="M143" i="18"/>
  <c r="N143" i="18" s="1"/>
  <c r="R143" i="18" s="1"/>
  <c r="M43" i="18"/>
  <c r="N43" i="18" s="1"/>
  <c r="R43" i="18" s="1"/>
  <c r="M138" i="18"/>
  <c r="N138" i="18" s="1"/>
  <c r="R138" i="18" s="1"/>
  <c r="M38" i="18"/>
  <c r="N38" i="18" s="1"/>
  <c r="R38" i="18" s="1"/>
  <c r="M94" i="18"/>
  <c r="N94" i="18" s="1"/>
  <c r="R94" i="18" s="1"/>
  <c r="M83" i="18"/>
  <c r="N83" i="18" s="1"/>
  <c r="R83" i="18" s="1"/>
  <c r="M115" i="18"/>
  <c r="N115" i="18" s="1"/>
  <c r="R115" i="18" s="1"/>
  <c r="M59" i="18"/>
  <c r="N59" i="18" s="1"/>
  <c r="R59" i="18" s="1"/>
  <c r="M106" i="18"/>
  <c r="N106" i="18" s="1"/>
  <c r="R106" i="18" s="1"/>
  <c r="M197" i="18"/>
  <c r="N197" i="18" s="1"/>
  <c r="R197" i="18" s="1"/>
  <c r="M130" i="18"/>
  <c r="N130" i="18" s="1"/>
  <c r="R130" i="18" s="1"/>
  <c r="M84" i="18"/>
  <c r="N84" i="18" s="1"/>
  <c r="R84" i="18" s="1"/>
  <c r="M167" i="18"/>
  <c r="N167" i="18" s="1"/>
  <c r="R167" i="18" s="1"/>
  <c r="M185" i="18"/>
  <c r="N185" i="18" s="1"/>
  <c r="R185" i="18" s="1"/>
  <c r="M126" i="18"/>
  <c r="N126" i="18" s="1"/>
  <c r="R126" i="18" s="1"/>
  <c r="M139" i="18"/>
  <c r="N139" i="18" s="1"/>
  <c r="R139" i="18" s="1"/>
  <c r="M65" i="18"/>
  <c r="N65" i="18" s="1"/>
  <c r="R65" i="18" s="1"/>
  <c r="M165" i="18"/>
  <c r="N165" i="18" s="1"/>
  <c r="R165" i="18" s="1"/>
  <c r="M40" i="18"/>
  <c r="N40" i="18" s="1"/>
  <c r="R40" i="18" s="1"/>
  <c r="M142" i="18"/>
  <c r="N142" i="18" s="1"/>
  <c r="R142" i="18" s="1"/>
  <c r="M159" i="18"/>
  <c r="N159" i="18" s="1"/>
  <c r="R159" i="18" s="1"/>
  <c r="M191" i="18"/>
  <c r="N191" i="18" s="1"/>
  <c r="R191" i="18" s="1"/>
  <c r="M61" i="18"/>
  <c r="N61" i="18" s="1"/>
  <c r="R61" i="18" s="1"/>
  <c r="M58" i="18"/>
  <c r="N58" i="18" s="1"/>
  <c r="R58" i="18" s="1"/>
  <c r="M118" i="18"/>
  <c r="N118" i="18" s="1"/>
  <c r="R118" i="18" s="1"/>
  <c r="M202" i="18"/>
  <c r="N202" i="18" s="1"/>
  <c r="R202" i="18" s="1"/>
  <c r="M76" i="18"/>
  <c r="N76" i="18" s="1"/>
  <c r="R76" i="18" s="1"/>
  <c r="M74" i="18"/>
  <c r="N74" i="18" s="1"/>
  <c r="R74" i="18" s="1"/>
  <c r="M131" i="18"/>
  <c r="N131" i="18" s="1"/>
  <c r="R131" i="18" s="1"/>
  <c r="M28" i="18"/>
  <c r="N28" i="18" s="1"/>
  <c r="R28" i="18" s="1"/>
  <c r="M41" i="18"/>
  <c r="N41" i="18" s="1"/>
  <c r="R41" i="18" s="1"/>
  <c r="M190" i="18"/>
  <c r="N190" i="18" s="1"/>
  <c r="R190" i="18" s="1"/>
  <c r="M111" i="18"/>
  <c r="N111" i="18" s="1"/>
  <c r="R111" i="18" s="1"/>
  <c r="M98" i="18"/>
  <c r="N98" i="18" s="1"/>
  <c r="R98" i="18" s="1"/>
  <c r="M107" i="18"/>
  <c r="N107" i="18" s="1"/>
  <c r="R107" i="18" s="1"/>
  <c r="M32" i="18"/>
  <c r="N32" i="18" s="1"/>
  <c r="R32" i="18" s="1"/>
  <c r="M105" i="18"/>
  <c r="N105" i="18" s="1"/>
  <c r="R105" i="18" s="1"/>
  <c r="M134" i="18"/>
  <c r="N134" i="18" s="1"/>
  <c r="R134" i="18" s="1"/>
  <c r="M99" i="18"/>
  <c r="N99" i="18" s="1"/>
  <c r="R99" i="18" s="1"/>
  <c r="M152" i="18"/>
  <c r="N152" i="18" s="1"/>
  <c r="R152" i="18" s="1"/>
  <c r="M109" i="18"/>
  <c r="N109" i="18" s="1"/>
  <c r="R109" i="18" s="1"/>
  <c r="M63" i="18"/>
  <c r="N63" i="18" s="1"/>
  <c r="R63" i="18" s="1"/>
  <c r="M108" i="18"/>
  <c r="N108" i="18" s="1"/>
  <c r="R108" i="18" s="1"/>
  <c r="M91" i="18"/>
  <c r="N91" i="18" s="1"/>
  <c r="R91" i="18" s="1"/>
  <c r="M212" i="18" l="1"/>
  <c r="N20" i="18"/>
  <c r="M13" i="18"/>
  <c r="N56" i="18"/>
  <c r="R56" i="18" l="1"/>
  <c r="R13" i="18" s="1"/>
  <c r="N13" i="18"/>
  <c r="R20" i="18"/>
  <c r="N14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<sst xmlns="http://schemas.openxmlformats.org/spreadsheetml/2006/main" count="421" uniqueCount="105">
  <si>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</si>
  <si>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</si>
  <si>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</si>
  <si>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</si>
  <si>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</si>
  <si>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</si>
  <si>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</si>
  <si>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</si>
  <si>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</si>
  <si>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</si>
  <si>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</si>
  <si>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</si>
  <si>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</si>
  <si>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</si>
  <si>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</si>
  <si>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</si>
  <si>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</si>
  <si>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</si>
  <si>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</si>
  <si>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</si>
  <si>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</si>
  <si>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</si>
  <si>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</si>
  <si>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</si>
  <si>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</si>
  <si>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</si>
  <si>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</si>
  <si>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</si>
  <si>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</si>
  <si>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</si>
  <si>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</si>
  <si>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</si>
  <si>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</si>
  <si>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</si>
  <si>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</si>
  <si>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</si>
  <si>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</si>
  <si>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</si>
  <si>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</si>
  <si>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</si>
  <si>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</si>
  <si>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</si>
  <si>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</si>
  <si>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</si>
  <si>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</si>
  <si>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</si>
  <si>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</si>
  <si>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</si>
  <si>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</si>
  <si>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</si>
  <si>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</si>
  <si>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</si>
  <si>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</si>
  <si>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</si>
  <si>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</si>
  <si>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</si>
  <si>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</si>
  <si>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</si>
  <si>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</si>
  <si>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</si>
  <si>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</si>
  <si>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</si>
  <si>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</si>
  <si>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</si>
  <si>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</si>
  <si>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</si>
  <si>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</si>
  <si>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</si>
  <si>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</si>
  <si>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</si>
  <si>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</si>
  <si>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</si>
  <si>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</si>
  <si>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</si>
  <si>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</si>
  <si>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</si>
  <si>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</si>
  <si>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</si>
  <si>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</si>
  <si>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</si>
  <si>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</si>
  <si>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</si>
  <si>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</si>
  <si>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</si>
  <si>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</si>
  <si>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</si>
  <si>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</si>
  <si>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</si>
  <si>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</si>
  <si>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</si>
  <si>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</si>
  <si>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</si>
  <si>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</si>
  <si>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</si>
  <si>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</si>
  <si>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</si>
  <si>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AEPTCo Formula Rate -- FERC Docket ER18-195</t>
  </si>
  <si>
    <t>Network Customer True-Up (Schedule 1 charges)</t>
  </si>
  <si>
    <t>2020 True Up Including Interest</t>
  </si>
  <si>
    <t>Total NITS Surcharge / Refund</t>
  </si>
  <si>
    <r>
      <t>2022 True-Up
(</t>
    </r>
    <r>
      <rPr>
        <sz val="10"/>
        <rFont val="Arial"/>
        <family val="2"/>
      </rPr>
      <t>w/o Interest)</t>
    </r>
  </si>
  <si>
    <t>2022 Interest</t>
  </si>
  <si>
    <t>2022 Tax True Up</t>
  </si>
  <si>
    <t>Total 2022
True-Up Surcharge / (Refund)</t>
  </si>
  <si>
    <t>2022 ROE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</si>
</sst>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7" fontId="7" fillId="6" borderId="25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66" fontId="25" fillId="0" borderId="43" xfId="0" applyNumberFormat="1" applyFont="1" applyBorder="1" applyProtection="1"/>
    <xf numFmtId="166" fontId="25" fillId="0" borderId="0" xfId="0" applyNumberFormat="1" applyFont="1" applyProtection="1"/>
    <xf numFmtId="166" fontId="25" fillId="0" borderId="44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49016" refreshedDate="45069.354292824071" createdVersion="6" refreshedVersion="7" recordCount="192" xr:uid="{00000000-000A-0000-FFFF-FFFFDA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2-12-02T00:00:00" count="156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2-02-03T00:00:00" maxDate="2023-01-05T00:00:00"/>
    </cacheField>
    <cacheField name="Payment Received*" numFmtId="14">
      <sharedItems containsSemiMixedTypes="0" containsNonDate="0" containsDate="1" containsString="0" minDate="2022-02-23T00:00:00" maxDate="2023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30"/>
    </cacheField>
    <cacheField name="Projected Rate (as Invoiced)" numFmtId="164">
      <sharedItems containsSemiMixedTypes="0" containsString="0" containsNumber="1" minValue="7.7465319548675735" maxValue="7.7465319548675735"/>
    </cacheField>
    <cacheField name="Actual True-Up Rate" numFmtId="164">
      <sharedItems containsSemiMixedTypes="0" containsString="0" containsNumber="1" minValue="3.5148822427931381" maxValue="3.5148822427931381"/>
    </cacheField>
    <cacheField name="True-Up Charge" numFmtId="164">
      <sharedItems containsSemiMixedTypes="0" containsString="0" containsNumber="1" minValue="3.5148822427931381" maxValue="14867.951887014975"/>
    </cacheField>
    <cacheField name="Invoiced*** Charge (proj.)" numFmtId="164">
      <sharedItems containsSemiMixedTypes="0" containsString="0" containsNumber="1" minValue="7.7465319548675735" maxValue="32767.830169089837"/>
    </cacheField>
    <cacheField name="True-Up w/o Interest" numFmtId="164">
      <sharedItems containsSemiMixedTypes="0" containsString="0" containsNumber="1" minValue="-17899.87828207486" maxValue="-4.2316497120744359"/>
    </cacheField>
    <cacheField name="Interest" numFmtId="164">
      <sharedItems containsSemiMixedTypes="0" containsString="0" containsNumber="1" minValue="-977.46040636325029" maxValue="-0.23107811025135941"/>
    </cacheField>
    <cacheField name="2020 True Up Including Interest" numFmtId="164">
      <sharedItems containsSemiMixedTypes="0" containsString="0" containsNumber="1" minValue="-18877.338688438111" maxValue="-4.4627278223257951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18877.338688438111" maxValue="-4.46272782232579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2-02-03T00:00:00"/>
    <d v="2022-02-23T00:00:00"/>
    <x v="0"/>
    <n v="9"/>
    <n v="2899"/>
    <n v="7.7465319548675735"/>
    <n v="3.5148822427931381"/>
    <n v="10189.643621857307"/>
    <n v="22457.196137161096"/>
    <n v="-12267.552515303789"/>
    <n v="-669.89544161869094"/>
    <n v="-12937.44795692248"/>
    <n v="0"/>
    <n v="0"/>
    <n v="0"/>
    <n v="-12937.44795692248"/>
  </r>
  <r>
    <x v="1"/>
    <d v="2022-03-03T00:00:00"/>
    <d v="2022-03-22T00:00:00"/>
    <x v="0"/>
    <n v="9"/>
    <n v="2759"/>
    <n v="7.7465319548675735"/>
    <n v="3.5148822427931381"/>
    <n v="9697.5601078662676"/>
    <n v="21372.681663479634"/>
    <n v="-11675.121555613367"/>
    <n v="-637.54450618350052"/>
    <n v="-12312.666061796866"/>
    <n v="0"/>
    <n v="0"/>
    <n v="0"/>
    <n v="-12312.666061796866"/>
  </r>
  <r>
    <x v="2"/>
    <d v="2022-04-05T00:00:00"/>
    <d v="2022-04-25T00:00:00"/>
    <x v="0"/>
    <n v="9"/>
    <n v="2450"/>
    <n v="7.7465319548675735"/>
    <n v="3.5148822427931381"/>
    <n v="8611.4614948431881"/>
    <n v="18979.003289425556"/>
    <n v="-10367.541794582368"/>
    <n v="-566.14137011583045"/>
    <n v="-10933.683164698199"/>
    <n v="0"/>
    <n v="0"/>
    <n v="0"/>
    <n v="-10933.683164698199"/>
  </r>
  <r>
    <x v="3"/>
    <d v="2022-05-04T00:00:00"/>
    <d v="2022-05-24T00:00:00"/>
    <x v="0"/>
    <n v="9"/>
    <n v="2395"/>
    <n v="7.7465319548675735"/>
    <n v="3.5148822427931381"/>
    <n v="8418.1429714895658"/>
    <n v="18552.944031907839"/>
    <n v="-10134.801060418273"/>
    <n v="-553.43207405200576"/>
    <n v="-10688.233134470278"/>
    <n v="0"/>
    <n v="0"/>
    <n v="0"/>
    <n v="-10688.233134470278"/>
  </r>
  <r>
    <x v="4"/>
    <d v="2022-06-03T00:00:00"/>
    <d v="2022-06-23T00:00:00"/>
    <x v="0"/>
    <n v="9"/>
    <n v="3482"/>
    <n v="7.7465319548675735"/>
    <n v="3.5148822427931381"/>
    <n v="12238.819969405708"/>
    <n v="26973.424266848891"/>
    <n v="-14734.604297443184"/>
    <n v="-804.61397989523346"/>
    <n v="-15539.218277338417"/>
    <n v="0"/>
    <n v="0"/>
    <n v="0"/>
    <n v="-15539.218277338417"/>
  </r>
  <r>
    <x v="5"/>
    <d v="2022-07-05T00:00:00"/>
    <d v="2022-07-25T00:00:00"/>
    <x v="0"/>
    <n v="9"/>
    <n v="4006"/>
    <n v="7.7465319548675735"/>
    <n v="3.5148822427931381"/>
    <n v="14080.618264629311"/>
    <n v="31032.6070111995"/>
    <n v="-16951.98874657019"/>
    <n v="-925.69890966694572"/>
    <n v="-17877.687656237136"/>
    <n v="0"/>
    <n v="0"/>
    <n v="0"/>
    <n v="-17877.687656237136"/>
  </r>
  <r>
    <x v="6"/>
    <d v="2022-08-03T00:00:00"/>
    <d v="2022-08-23T00:00:00"/>
    <x v="0"/>
    <n v="9"/>
    <n v="4230"/>
    <n v="7.7465319548675735"/>
    <n v="3.5148822427931381"/>
    <n v="14867.951887014975"/>
    <n v="32767.830169089837"/>
    <n v="-17899.87828207486"/>
    <n v="-977.46040636325029"/>
    <n v="-18877.338688438111"/>
    <n v="0"/>
    <n v="0"/>
    <n v="0"/>
    <n v="-18877.338688438111"/>
  </r>
  <r>
    <x v="7"/>
    <d v="2022-09-05T00:00:00"/>
    <d v="2022-09-23T00:00:00"/>
    <x v="0"/>
    <n v="9"/>
    <n v="4151"/>
    <n v="7.7465319548675735"/>
    <n v="3.5148822427931381"/>
    <n v="14590.276189834316"/>
    <n v="32155.854144655299"/>
    <n v="-17565.577954820983"/>
    <n v="-959.20523565339272"/>
    <n v="-18524.783190474376"/>
    <n v="0"/>
    <n v="0"/>
    <n v="0"/>
    <n v="-18524.783190474376"/>
  </r>
  <r>
    <x v="8"/>
    <d v="2022-10-05T00:00:00"/>
    <d v="2022-10-25T00:00:00"/>
    <x v="0"/>
    <n v="9"/>
    <n v="3898"/>
    <n v="7.7465319548675735"/>
    <n v="3.5148822427931381"/>
    <n v="13701.010982407652"/>
    <n v="30195.9815600738"/>
    <n v="-16494.97057766615"/>
    <n v="-900.74247375979894"/>
    <n v="-17395.713051425948"/>
    <n v="0"/>
    <n v="0"/>
    <n v="0"/>
    <n v="-17395.713051425948"/>
  </r>
  <r>
    <x v="9"/>
    <d v="2022-11-03T00:00:00"/>
    <d v="2022-11-23T00:00:00"/>
    <x v="0"/>
    <n v="9"/>
    <n v="2760"/>
    <n v="7.7465319548675735"/>
    <n v="3.5148822427931381"/>
    <n v="9701.0749901090603"/>
    <n v="21380.428195434502"/>
    <n v="-11679.353205325442"/>
    <n v="-637.77558429375199"/>
    <n v="-12317.128789619193"/>
    <n v="0"/>
    <n v="0"/>
    <n v="0"/>
    <n v="-12317.128789619193"/>
  </r>
  <r>
    <x v="10"/>
    <d v="2022-12-05T00:00:00"/>
    <d v="2022-12-23T00:00:00"/>
    <x v="0"/>
    <n v="9"/>
    <n v="2561"/>
    <n v="7.7465319548675735"/>
    <n v="3.5148822427931381"/>
    <n v="9001.6134237932274"/>
    <n v="19838.868336415857"/>
    <n v="-10837.254912622629"/>
    <n v="-591.79104035373132"/>
    <n v="-11429.045952976361"/>
    <n v="0"/>
    <n v="0"/>
    <n v="0"/>
    <n v="-11429.045952976361"/>
  </r>
  <r>
    <x v="11"/>
    <d v="2023-01-04T00:00:00"/>
    <d v="2023-01-24T00:00:00"/>
    <x v="0"/>
    <n v="9"/>
    <n v="3150"/>
    <n v="7.7465319548675735"/>
    <n v="3.5148822427931381"/>
    <n v="11071.879064798384"/>
    <n v="24401.575657832858"/>
    <n v="-13329.696593034474"/>
    <n v="-727.89604729178211"/>
    <n v="-14057.592640326257"/>
    <n v="0"/>
    <n v="0"/>
    <n v="0"/>
    <n v="-14057.592640326257"/>
  </r>
  <r>
    <x v="0"/>
    <d v="2022-02-03T00:00:00"/>
    <d v="2022-02-23T00:00:00"/>
    <x v="1"/>
    <n v="9"/>
    <n v="2921"/>
    <n v="7.7465319548675735"/>
    <n v="3.5148822427931381"/>
    <n v="10266.971031198756"/>
    <n v="22627.619840168183"/>
    <n v="-12360.648808969427"/>
    <n v="-674.97916004422075"/>
    <n v="-13035.627969013647"/>
    <n v="0"/>
    <n v="0"/>
    <n v="0"/>
    <n v="-13035.627969013647"/>
  </r>
  <r>
    <x v="1"/>
    <d v="2022-03-03T00:00:00"/>
    <d v="2022-03-22T00:00:00"/>
    <x v="1"/>
    <n v="9"/>
    <n v="2853"/>
    <n v="7.7465319548675735"/>
    <n v="3.5148822427931381"/>
    <n v="10027.959038688823"/>
    <n v="22100.855667237189"/>
    <n v="-12072.896628548366"/>
    <n v="-659.26584854712837"/>
    <n v="-12732.162477095495"/>
    <n v="0"/>
    <n v="0"/>
    <n v="0"/>
    <n v="-12732.162477095495"/>
  </r>
  <r>
    <x v="2"/>
    <d v="2022-04-05T00:00:00"/>
    <d v="2022-04-25T00:00:00"/>
    <x v="1"/>
    <n v="9"/>
    <n v="2560"/>
    <n v="7.7465319548675735"/>
    <n v="3.5148822427931381"/>
    <n v="8998.0985415504329"/>
    <n v="19831.121804460989"/>
    <n v="-10833.023262910556"/>
    <n v="-591.55996224348007"/>
    <n v="-11424.583225154036"/>
    <n v="0"/>
    <n v="0"/>
    <n v="0"/>
    <n v="-11424.583225154036"/>
  </r>
  <r>
    <x v="3"/>
    <d v="2022-05-04T00:00:00"/>
    <d v="2022-05-24T00:00:00"/>
    <x v="1"/>
    <n v="9"/>
    <n v="2434"/>
    <n v="7.7465319548675735"/>
    <n v="3.5148822427931381"/>
    <n v="8555.2233789584989"/>
    <n v="18855.058778147675"/>
    <n v="-10299.835399189176"/>
    <n v="-562.44412035180881"/>
    <n v="-10862.279519540985"/>
    <n v="0"/>
    <n v="0"/>
    <n v="0"/>
    <n v="-10862.279519540985"/>
  </r>
  <r>
    <x v="4"/>
    <d v="2022-06-03T00:00:00"/>
    <d v="2022-06-23T00:00:00"/>
    <x v="1"/>
    <n v="9"/>
    <n v="3117"/>
    <n v="7.7465319548675735"/>
    <n v="3.5148822427931381"/>
    <n v="10955.887950786211"/>
    <n v="24145.940103322228"/>
    <n v="-13190.052152536016"/>
    <n v="-720.27046965348723"/>
    <n v="-13910.322622189504"/>
    <n v="0"/>
    <n v="0"/>
    <n v="0"/>
    <n v="-13910.322622189504"/>
  </r>
  <r>
    <x v="5"/>
    <d v="2022-07-05T00:00:00"/>
    <d v="2022-07-25T00:00:00"/>
    <x v="1"/>
    <n v="9"/>
    <n v="3536"/>
    <n v="7.7465319548675735"/>
    <n v="3.5148822427931381"/>
    <n v="12428.623610516537"/>
    <n v="27391.736992411741"/>
    <n v="-14963.113381895204"/>
    <n v="-817.0921978488069"/>
    <n v="-15780.205579744012"/>
    <n v="0"/>
    <n v="0"/>
    <n v="0"/>
    <n v="-15780.205579744012"/>
  </r>
  <r>
    <x v="6"/>
    <d v="2022-08-03T00:00:00"/>
    <d v="2022-08-23T00:00:00"/>
    <x v="1"/>
    <n v="9"/>
    <n v="3696"/>
    <n v="7.7465319548675735"/>
    <n v="3.5148822427931381"/>
    <n v="12991.004769363439"/>
    <n v="28631.18210519055"/>
    <n v="-15640.177335827111"/>
    <n v="-854.06469548902442"/>
    <n v="-16494.242031316135"/>
    <n v="0"/>
    <n v="0"/>
    <n v="0"/>
    <n v="-16494.242031316135"/>
  </r>
  <r>
    <x v="7"/>
    <d v="2022-09-05T00:00:00"/>
    <d v="2022-09-23T00:00:00"/>
    <x v="1"/>
    <n v="9"/>
    <n v="3632"/>
    <n v="7.7465319548675735"/>
    <n v="3.5148822427931381"/>
    <n v="12766.052305824678"/>
    <n v="28135.404060079029"/>
    <n v="-15369.35175425435"/>
    <n v="-839.27569643293737"/>
    <n v="-16208.627450687287"/>
    <n v="0"/>
    <n v="0"/>
    <n v="0"/>
    <n v="-16208.627450687287"/>
  </r>
  <r>
    <x v="8"/>
    <d v="2022-10-05T00:00:00"/>
    <d v="2022-10-25T00:00:00"/>
    <x v="1"/>
    <n v="9"/>
    <n v="3337"/>
    <n v="7.7465319548675735"/>
    <n v="3.5148822427931381"/>
    <n v="11729.162044200702"/>
    <n v="25850.177133393092"/>
    <n v="-14121.015089192389"/>
    <n v="-771.10765390878623"/>
    <n v="-14892.122743101176"/>
    <n v="0"/>
    <n v="0"/>
    <n v="0"/>
    <n v="-14892.122743101176"/>
  </r>
  <r>
    <x v="9"/>
    <d v="2022-11-03T00:00:00"/>
    <d v="2022-11-23T00:00:00"/>
    <x v="1"/>
    <n v="9"/>
    <n v="2496"/>
    <n v="7.7465319548675735"/>
    <n v="3.5148822427931381"/>
    <n v="8773.1460780116722"/>
    <n v="19335.343759349464"/>
    <n v="-10562.197681337791"/>
    <n v="-576.77096318739302"/>
    <n v="-11138.968644525185"/>
    <n v="0"/>
    <n v="0"/>
    <n v="0"/>
    <n v="-11138.968644525185"/>
  </r>
  <r>
    <x v="10"/>
    <d v="2022-12-05T00:00:00"/>
    <d v="2022-12-23T00:00:00"/>
    <x v="1"/>
    <n v="9"/>
    <n v="2518"/>
    <n v="7.7465319548675735"/>
    <n v="3.5148822427931381"/>
    <n v="8850.4734873531215"/>
    <n v="19505.767462356551"/>
    <n v="-10655.293975003429"/>
    <n v="-581.85468161292295"/>
    <n v="-11237.148656616353"/>
    <n v="0"/>
    <n v="0"/>
    <n v="0"/>
    <n v="-11237.148656616353"/>
  </r>
  <r>
    <x v="11"/>
    <d v="2023-01-04T00:00:00"/>
    <d v="2023-01-24T00:00:00"/>
    <x v="1"/>
    <n v="9"/>
    <n v="3399"/>
    <n v="7.7465319548675735"/>
    <n v="3.5148822427931381"/>
    <n v="11947.084743253876"/>
    <n v="26330.462114594884"/>
    <n v="-14383.377371341008"/>
    <n v="-785.43449674437056"/>
    <n v="-15168.811868085379"/>
    <n v="0"/>
    <n v="0"/>
    <n v="0"/>
    <n v="-15168.811868085379"/>
  </r>
  <r>
    <x v="0"/>
    <d v="2022-02-03T00:00:00"/>
    <d v="2022-02-23T00:00:00"/>
    <x v="2"/>
    <n v="9"/>
    <n v="163"/>
    <n v="7.7465319548675735"/>
    <n v="3.5148822427931381"/>
    <n v="572.92580557528152"/>
    <n v="1262.6847086434145"/>
    <n v="-689.75890306813301"/>
    <n v="-37.665731970971578"/>
    <n v="-727.4246350391046"/>
    <n v="0"/>
    <n v="0"/>
    <n v="0"/>
    <n v="-727.4246350391046"/>
  </r>
  <r>
    <x v="1"/>
    <d v="2022-03-03T00:00:00"/>
    <d v="2022-03-22T00:00:00"/>
    <x v="2"/>
    <n v="9"/>
    <n v="155"/>
    <n v="7.7465319548675735"/>
    <n v="3.5148822427931381"/>
    <n v="544.80674763293644"/>
    <n v="1200.7124530044739"/>
    <n v="-655.90570537153746"/>
    <n v="-35.817107088960704"/>
    <n v="-691.72281246049818"/>
    <n v="0"/>
    <n v="0"/>
    <n v="0"/>
    <n v="-691.72281246049818"/>
  </r>
  <r>
    <x v="2"/>
    <d v="2022-04-05T00:00:00"/>
    <d v="2022-04-25T00:00:00"/>
    <x v="2"/>
    <n v="9"/>
    <n v="141"/>
    <n v="7.7465319548675735"/>
    <n v="3.5148822427931381"/>
    <n v="495.59839623383249"/>
    <n v="1092.2610056363278"/>
    <n v="-596.66260940249526"/>
    <n v="-32.582013545441676"/>
    <n v="-629.24462294793693"/>
    <n v="0"/>
    <n v="0"/>
    <n v="0"/>
    <n v="-629.24462294793693"/>
  </r>
  <r>
    <x v="3"/>
    <d v="2022-05-04T00:00:00"/>
    <d v="2022-05-24T00:00:00"/>
    <x v="2"/>
    <n v="9"/>
    <n v="92"/>
    <n v="7.7465319548675735"/>
    <n v="3.5148822427931381"/>
    <n v="323.3691663369687"/>
    <n v="712.68093984781672"/>
    <n v="-389.31177351084801"/>
    <n v="-21.259186143125063"/>
    <n v="-410.57095965397309"/>
    <n v="0"/>
    <n v="0"/>
    <n v="0"/>
    <n v="-410.57095965397309"/>
  </r>
  <r>
    <x v="4"/>
    <d v="2022-06-03T00:00:00"/>
    <d v="2022-06-23T00:00:00"/>
    <x v="2"/>
    <n v="9"/>
    <n v="131"/>
    <n v="7.7465319548675735"/>
    <n v="3.5148822427931381"/>
    <n v="460.44957380590108"/>
    <n v="1014.7956860876521"/>
    <n v="-554.34611228175106"/>
    <n v="-30.271232442928081"/>
    <n v="-584.61734472467913"/>
    <n v="0"/>
    <n v="0"/>
    <n v="0"/>
    <n v="-584.61734472467913"/>
  </r>
  <r>
    <x v="5"/>
    <d v="2022-07-05T00:00:00"/>
    <d v="2022-07-25T00:00:00"/>
    <x v="2"/>
    <n v="9"/>
    <n v="152"/>
    <n v="7.7465319548675735"/>
    <n v="3.5148822427931381"/>
    <n v="534.26210090455697"/>
    <n v="1177.4728571398712"/>
    <n v="-643.21075623531419"/>
    <n v="-35.12387275820663"/>
    <n v="-678.33462899352082"/>
    <n v="0"/>
    <n v="0"/>
    <n v="0"/>
    <n v="-678.33462899352082"/>
  </r>
  <r>
    <x v="6"/>
    <d v="2022-08-03T00:00:00"/>
    <d v="2022-08-23T00:00:00"/>
    <x v="2"/>
    <n v="9"/>
    <n v="149"/>
    <n v="7.7465319548675735"/>
    <n v="3.5148822427931381"/>
    <n v="523.71745417617763"/>
    <n v="1154.2332612752684"/>
    <n v="-630.51580709909081"/>
    <n v="-34.43063842745255"/>
    <n v="-664.94644552654336"/>
    <n v="0"/>
    <n v="0"/>
    <n v="0"/>
    <n v="-664.94644552654336"/>
  </r>
  <r>
    <x v="7"/>
    <d v="2022-09-05T00:00:00"/>
    <d v="2022-09-23T00:00:00"/>
    <x v="2"/>
    <n v="9"/>
    <n v="137"/>
    <n v="7.7465319548675735"/>
    <n v="3.5148822427931381"/>
    <n v="481.53886726265989"/>
    <n v="1061.2748778168575"/>
    <n v="-579.73601055419761"/>
    <n v="-31.657701104436239"/>
    <n v="-611.39371165863383"/>
    <n v="0"/>
    <n v="0"/>
    <n v="0"/>
    <n v="-611.39371165863383"/>
  </r>
  <r>
    <x v="8"/>
    <d v="2022-10-05T00:00:00"/>
    <d v="2022-10-25T00:00:00"/>
    <x v="2"/>
    <n v="9"/>
    <n v="136"/>
    <n v="7.7465319548675735"/>
    <n v="3.5148822427931381"/>
    <n v="478.02398501986676"/>
    <n v="1053.5283458619899"/>
    <n v="-575.50436084212311"/>
    <n v="-31.426622994184878"/>
    <n v="-606.93098383630797"/>
    <n v="0"/>
    <n v="0"/>
    <n v="0"/>
    <n v="-606.93098383630797"/>
  </r>
  <r>
    <x v="9"/>
    <d v="2022-11-03T00:00:00"/>
    <d v="2022-11-23T00:00:00"/>
    <x v="2"/>
    <n v="9"/>
    <n v="91"/>
    <n v="7.7465319548675735"/>
    <n v="3.5148822427931381"/>
    <n v="319.85428409417557"/>
    <n v="704.93440789294914"/>
    <n v="-385.08012379877357"/>
    <n v="-21.028108032873703"/>
    <n v="-406.10823183164729"/>
    <n v="0"/>
    <n v="0"/>
    <n v="0"/>
    <n v="-406.10823183164729"/>
  </r>
  <r>
    <x v="10"/>
    <d v="2022-12-05T00:00:00"/>
    <d v="2022-12-23T00:00:00"/>
    <x v="2"/>
    <n v="9"/>
    <n v="113"/>
    <n v="7.7465319548675735"/>
    <n v="3.5148822427931381"/>
    <n v="397.1816934356246"/>
    <n v="875.35811090003585"/>
    <n v="-478.17641746441126"/>
    <n v="-26.111826458403613"/>
    <n v="-504.2882439228149"/>
    <n v="0"/>
    <n v="0"/>
    <n v="0"/>
    <n v="-504.2882439228149"/>
  </r>
  <r>
    <x v="11"/>
    <d v="2023-01-04T00:00:00"/>
    <d v="2023-01-24T00:00:00"/>
    <x v="2"/>
    <n v="9"/>
    <n v="210"/>
    <n v="7.7465319548675735"/>
    <n v="3.5148822427931381"/>
    <n v="738.12527098655903"/>
    <n v="1626.7717105221905"/>
    <n v="-888.64643953563143"/>
    <n v="-48.526403152785477"/>
    <n v="-937.17284268841695"/>
    <n v="0"/>
    <n v="0"/>
    <n v="0"/>
    <n v="-937.17284268841695"/>
  </r>
  <r>
    <x v="0"/>
    <d v="2022-02-03T00:00:00"/>
    <d v="2022-02-23T00:00:00"/>
    <x v="3"/>
    <n v="9"/>
    <n v="893"/>
    <n v="7.7465319548675735"/>
    <n v="3.5148822427931381"/>
    <n v="3138.7898428142721"/>
    <n v="6917.6530356967432"/>
    <n v="-3778.8631928824711"/>
    <n v="-206.35275245446394"/>
    <n v="-3985.215945336935"/>
    <n v="0"/>
    <n v="0"/>
    <n v="0"/>
    <n v="-3985.215945336935"/>
  </r>
  <r>
    <x v="1"/>
    <d v="2022-03-03T00:00:00"/>
    <d v="2022-03-22T00:00:00"/>
    <x v="3"/>
    <n v="9"/>
    <n v="796"/>
    <n v="7.7465319548675735"/>
    <n v="3.5148822427931381"/>
    <n v="2797.846265263338"/>
    <n v="6166.2394360745884"/>
    <n v="-3368.3931708112505"/>
    <n v="-183.93817576008209"/>
    <n v="-3552.3313465713327"/>
    <n v="0"/>
    <n v="0"/>
    <n v="0"/>
    <n v="-3552.3313465713327"/>
  </r>
  <r>
    <x v="2"/>
    <d v="2022-04-05T00:00:00"/>
    <d v="2022-04-25T00:00:00"/>
    <x v="3"/>
    <n v="9"/>
    <n v="700"/>
    <n v="7.7465319548675735"/>
    <n v="3.5148822427931381"/>
    <n v="2460.4175699551965"/>
    <n v="5422.5723684073018"/>
    <n v="-2962.1547984521053"/>
    <n v="-161.75467717595157"/>
    <n v="-3123.909475628057"/>
    <n v="0"/>
    <n v="0"/>
    <n v="0"/>
    <n v="-3123.909475628057"/>
  </r>
  <r>
    <x v="3"/>
    <d v="2022-05-04T00:00:00"/>
    <d v="2022-05-24T00:00:00"/>
    <x v="3"/>
    <n v="9"/>
    <n v="549"/>
    <n v="7.7465319548675735"/>
    <n v="3.5148822427931381"/>
    <n v="1929.6703512934328"/>
    <n v="4252.8460432222982"/>
    <n v="-2323.1756919288655"/>
    <n v="-126.8618825279963"/>
    <n v="-2450.0375744568619"/>
    <n v="0"/>
    <n v="0"/>
    <n v="0"/>
    <n v="-2450.0375744568619"/>
  </r>
  <r>
    <x v="4"/>
    <d v="2022-06-03T00:00:00"/>
    <d v="2022-06-23T00:00:00"/>
    <x v="3"/>
    <n v="9"/>
    <n v="753"/>
    <n v="7.7465319548675735"/>
    <n v="3.5148822427931381"/>
    <n v="2646.706328823233"/>
    <n v="5833.1385620152832"/>
    <n v="-3186.4322331920503"/>
    <n v="-174.00181701927363"/>
    <n v="-3360.4340502113237"/>
    <n v="0"/>
    <n v="0"/>
    <n v="0"/>
    <n v="-3360.4340502113237"/>
  </r>
  <r>
    <x v="5"/>
    <d v="2022-07-05T00:00:00"/>
    <d v="2022-07-25T00:00:00"/>
    <x v="3"/>
    <n v="9"/>
    <n v="942"/>
    <n v="7.7465319548675735"/>
    <n v="3.5148822427931381"/>
    <n v="3311.0190727111362"/>
    <n v="7297.2331014852543"/>
    <n v="-3986.2140287741181"/>
    <n v="-217.67557985678056"/>
    <n v="-4203.8896086308987"/>
    <n v="0"/>
    <n v="0"/>
    <n v="0"/>
    <n v="-4203.8896086308987"/>
  </r>
  <r>
    <x v="6"/>
    <d v="2022-08-03T00:00:00"/>
    <d v="2022-08-23T00:00:00"/>
    <x v="3"/>
    <n v="9"/>
    <n v="1036"/>
    <n v="7.7465319548675735"/>
    <n v="3.5148822427931381"/>
    <n v="3641.4180035336913"/>
    <n v="8025.4071052428062"/>
    <n v="-4383.9891017091149"/>
    <n v="-239.39692222040833"/>
    <n v="-4623.3860239295236"/>
    <n v="0"/>
    <n v="0"/>
    <n v="0"/>
    <n v="-4623.3860239295236"/>
  </r>
  <r>
    <x v="7"/>
    <d v="2022-09-05T00:00:00"/>
    <d v="2022-09-23T00:00:00"/>
    <x v="3"/>
    <n v="9"/>
    <n v="954"/>
    <n v="7.7465319548675735"/>
    <n v="3.5148822427931381"/>
    <n v="3353.1976596246536"/>
    <n v="7390.1914849436653"/>
    <n v="-4036.9938253190116"/>
    <n v="-220.44851717979685"/>
    <n v="-4257.4423424988081"/>
    <n v="0"/>
    <n v="0"/>
    <n v="0"/>
    <n v="-4257.4423424988081"/>
  </r>
  <r>
    <x v="8"/>
    <d v="2022-10-05T00:00:00"/>
    <d v="2022-10-25T00:00:00"/>
    <x v="3"/>
    <n v="9"/>
    <n v="860"/>
    <n v="7.7465319548675735"/>
    <n v="3.5148822427931381"/>
    <n v="3022.7987288020986"/>
    <n v="6662.0174811861134"/>
    <n v="-3639.2187523840148"/>
    <n v="-198.72717481616908"/>
    <n v="-3837.9459272001841"/>
    <n v="0"/>
    <n v="0"/>
    <n v="0"/>
    <n v="-3837.9459272001841"/>
  </r>
  <r>
    <x v="9"/>
    <d v="2022-11-03T00:00:00"/>
    <d v="2022-11-23T00:00:00"/>
    <x v="3"/>
    <n v="9"/>
    <n v="589"/>
    <n v="7.7465319548675735"/>
    <n v="3.5148822427931381"/>
    <n v="2070.2656410051582"/>
    <n v="4562.7073214170005"/>
    <n v="-2492.4416804118423"/>
    <n v="-136.10500693805068"/>
    <n v="-2628.5466873498931"/>
    <n v="0"/>
    <n v="0"/>
    <n v="0"/>
    <n v="-2628.5466873498931"/>
  </r>
  <r>
    <x v="10"/>
    <d v="2022-12-05T00:00:00"/>
    <d v="2022-12-23T00:00:00"/>
    <x v="3"/>
    <n v="9"/>
    <n v="730"/>
    <n v="7.7465319548675735"/>
    <n v="3.5148822427931381"/>
    <n v="2565.8640372389909"/>
    <n v="5654.9683270533287"/>
    <n v="-3089.1042898143378"/>
    <n v="-168.68702048349238"/>
    <n v="-3257.79131029783"/>
    <n v="0"/>
    <n v="0"/>
    <n v="0"/>
    <n v="-3257.79131029783"/>
  </r>
  <r>
    <x v="11"/>
    <d v="2023-01-04T00:00:00"/>
    <d v="2023-01-24T00:00:00"/>
    <x v="3"/>
    <n v="9"/>
    <n v="1123"/>
    <n v="7.7465319548675735"/>
    <n v="3.5148822427931381"/>
    <n v="3947.2127586566939"/>
    <n v="8699.3553853162848"/>
    <n v="-4752.1426266595909"/>
    <n v="-259.5007178122766"/>
    <n v="-5011.6433444718677"/>
    <n v="0"/>
    <n v="0"/>
    <n v="0"/>
    <n v="-5011.6433444718677"/>
  </r>
  <r>
    <x v="0"/>
    <d v="2022-02-03T00:00:00"/>
    <d v="2022-02-23T00:00:00"/>
    <x v="4"/>
    <n v="9"/>
    <n v="48"/>
    <n v="7.7465319548675735"/>
    <n v="3.5148822427931381"/>
    <n v="168.71434765407062"/>
    <n v="371.83353383364351"/>
    <n v="-203.11918617957289"/>
    <n v="-11.09174929206525"/>
    <n v="-214.21093547163815"/>
    <n v="0"/>
    <n v="0"/>
    <n v="0"/>
    <n v="-214.21093547163815"/>
  </r>
  <r>
    <x v="1"/>
    <d v="2022-03-03T00:00:00"/>
    <d v="2022-03-22T00:00:00"/>
    <x v="4"/>
    <n v="9"/>
    <n v="45"/>
    <n v="7.7465319548675735"/>
    <n v="3.5148822427931381"/>
    <n v="158.16970092569122"/>
    <n v="348.59393796904078"/>
    <n v="-190.42423704334956"/>
    <n v="-10.398514961311173"/>
    <n v="-200.82275200466074"/>
    <n v="0"/>
    <n v="0"/>
    <n v="0"/>
    <n v="-200.82275200466074"/>
  </r>
  <r>
    <x v="2"/>
    <d v="2022-04-05T00:00:00"/>
    <d v="2022-04-25T00:00:00"/>
    <x v="4"/>
    <n v="9"/>
    <n v="38"/>
    <n v="7.7465319548675735"/>
    <n v="3.5148822427931381"/>
    <n v="133.56552522613924"/>
    <n v="294.36821428496779"/>
    <n v="-160.80268905882855"/>
    <n v="-8.7809681895516576"/>
    <n v="-169.58365724838021"/>
    <n v="0"/>
    <n v="0"/>
    <n v="0"/>
    <n v="-169.58365724838021"/>
  </r>
  <r>
    <x v="3"/>
    <d v="2022-05-04T00:00:00"/>
    <d v="2022-05-24T00:00:00"/>
    <x v="4"/>
    <n v="9"/>
    <n v="26"/>
    <n v="7.7465319548675735"/>
    <n v="3.5148822427931381"/>
    <n v="91.386938312621595"/>
    <n v="201.40983082655691"/>
    <n v="-110.02289251393532"/>
    <n v="-6.0080308665353437"/>
    <n v="-116.03092338047067"/>
    <n v="0"/>
    <n v="0"/>
    <n v="0"/>
    <n v="-116.03092338047067"/>
  </r>
  <r>
    <x v="4"/>
    <d v="2022-06-03T00:00:00"/>
    <d v="2022-06-23T00:00:00"/>
    <x v="4"/>
    <n v="9"/>
    <n v="43"/>
    <n v="7.7465319548675735"/>
    <n v="3.5148822427931381"/>
    <n v="151.13993644010495"/>
    <n v="333.10087405930568"/>
    <n v="-181.96093761920073"/>
    <n v="-9.9363587408084548"/>
    <n v="-191.89729636000919"/>
    <n v="0"/>
    <n v="0"/>
    <n v="0"/>
    <n v="-191.89729636000919"/>
  </r>
  <r>
    <x v="5"/>
    <d v="2022-07-05T00:00:00"/>
    <d v="2022-07-25T00:00:00"/>
    <x v="4"/>
    <n v="9"/>
    <n v="54"/>
    <n v="7.7465319548675735"/>
    <n v="3.5148822427931381"/>
    <n v="189.80364111082946"/>
    <n v="418.31272556284898"/>
    <n v="-228.50908445201952"/>
    <n v="-12.478217953573408"/>
    <n v="-240.98730240559294"/>
    <n v="0"/>
    <n v="0"/>
    <n v="0"/>
    <n v="-240.98730240559294"/>
  </r>
  <r>
    <x v="6"/>
    <d v="2022-08-03T00:00:00"/>
    <d v="2022-08-23T00:00:00"/>
    <x v="4"/>
    <n v="9"/>
    <n v="57"/>
    <n v="7.7465319548675735"/>
    <n v="3.5148822427931381"/>
    <n v="200.34828783920887"/>
    <n v="441.55232142745172"/>
    <n v="-241.20403358824285"/>
    <n v="-13.171452284327485"/>
    <n v="-254.37548587257032"/>
    <n v="0"/>
    <n v="0"/>
    <n v="0"/>
    <n v="-254.37548587257032"/>
  </r>
  <r>
    <x v="7"/>
    <d v="2022-09-05T00:00:00"/>
    <d v="2022-09-23T00:00:00"/>
    <x v="4"/>
    <n v="9"/>
    <n v="54"/>
    <n v="7.7465319548675735"/>
    <n v="3.5148822427931381"/>
    <n v="189.80364111082946"/>
    <n v="418.31272556284898"/>
    <n v="-228.50908445201952"/>
    <n v="-12.478217953573408"/>
    <n v="-240.98730240559294"/>
    <n v="0"/>
    <n v="0"/>
    <n v="0"/>
    <n v="-240.98730240559294"/>
  </r>
  <r>
    <x v="8"/>
    <d v="2022-10-05T00:00:00"/>
    <d v="2022-10-25T00:00:00"/>
    <x v="4"/>
    <n v="9"/>
    <n v="53"/>
    <n v="7.7465319548675735"/>
    <n v="3.5148822427931381"/>
    <n v="186.28875886803633"/>
    <n v="410.5661936079814"/>
    <n v="-224.27743473994508"/>
    <n v="-12.247139843322048"/>
    <n v="-236.52457458326714"/>
    <n v="0"/>
    <n v="0"/>
    <n v="0"/>
    <n v="-236.52457458326714"/>
  </r>
  <r>
    <x v="9"/>
    <d v="2022-11-03T00:00:00"/>
    <d v="2022-11-23T00:00:00"/>
    <x v="4"/>
    <n v="9"/>
    <n v="31"/>
    <n v="7.7465319548675735"/>
    <n v="3.5148822427931381"/>
    <n v="108.96134952658728"/>
    <n v="240.14249060089477"/>
    <n v="-131.1811410743075"/>
    <n v="-7.1634214177921409"/>
    <n v="-138.34456249209964"/>
    <n v="0"/>
    <n v="0"/>
    <n v="0"/>
    <n v="-138.34456249209964"/>
  </r>
  <r>
    <x v="10"/>
    <d v="2022-12-05T00:00:00"/>
    <d v="2022-12-23T00:00:00"/>
    <x v="4"/>
    <n v="9"/>
    <n v="38"/>
    <n v="7.7465319548675735"/>
    <n v="3.5148822427931381"/>
    <n v="133.56552522613924"/>
    <n v="294.36821428496779"/>
    <n v="-160.80268905882855"/>
    <n v="-8.7809681895516576"/>
    <n v="-169.58365724838021"/>
    <n v="0"/>
    <n v="0"/>
    <n v="0"/>
    <n v="-169.58365724838021"/>
  </r>
  <r>
    <x v="11"/>
    <d v="2023-01-04T00:00:00"/>
    <d v="2023-01-24T00:00:00"/>
    <x v="4"/>
    <n v="9"/>
    <n v="58"/>
    <n v="7.7465319548675735"/>
    <n v="3.5148822427931381"/>
    <n v="203.863170082002"/>
    <n v="449.29885338231924"/>
    <n v="-245.43568330031724"/>
    <n v="-13.402530394578845"/>
    <n v="-258.83821369489607"/>
    <n v="0"/>
    <n v="0"/>
    <n v="0"/>
    <n v="-258.83821369489607"/>
  </r>
  <r>
    <x v="0"/>
    <d v="2022-02-03T00:00:00"/>
    <d v="2022-02-23T00:00:00"/>
    <x v="5"/>
    <n v="9"/>
    <n v="50"/>
    <n v="7.7465319548675735"/>
    <n v="3.5148822427931381"/>
    <n v="175.74411213965689"/>
    <n v="387.32659774337867"/>
    <n v="-211.58248560372178"/>
    <n v="-11.553905512567969"/>
    <n v="-223.13639111628976"/>
    <n v="0"/>
    <n v="0"/>
    <n v="0"/>
    <n v="-223.13639111628976"/>
  </r>
  <r>
    <x v="1"/>
    <d v="2022-03-03T00:00:00"/>
    <d v="2022-03-22T00:00:00"/>
    <x v="5"/>
    <n v="9"/>
    <n v="49"/>
    <n v="7.7465319548675735"/>
    <n v="3.5148822427931381"/>
    <n v="172.22922989686376"/>
    <n v="379.58006578851109"/>
    <n v="-207.35083589164734"/>
    <n v="-11.32282740231661"/>
    <n v="-218.67366329396395"/>
    <n v="0"/>
    <n v="0"/>
    <n v="0"/>
    <n v="-218.67366329396395"/>
  </r>
  <r>
    <x v="2"/>
    <d v="2022-04-05T00:00:00"/>
    <d v="2022-04-25T00:00:00"/>
    <x v="5"/>
    <n v="9"/>
    <n v="45"/>
    <n v="7.7465319548675735"/>
    <n v="3.5148822427931381"/>
    <n v="158.16970092569122"/>
    <n v="348.59393796904078"/>
    <n v="-190.42423704334956"/>
    <n v="-10.398514961311173"/>
    <n v="-200.82275200466074"/>
    <n v="0"/>
    <n v="0"/>
    <n v="0"/>
    <n v="-200.82275200466074"/>
  </r>
  <r>
    <x v="3"/>
    <d v="2022-05-04T00:00:00"/>
    <d v="2022-05-24T00:00:00"/>
    <x v="5"/>
    <n v="9"/>
    <n v="34"/>
    <n v="7.7465319548675735"/>
    <n v="3.5148822427931381"/>
    <n v="119.50599625496669"/>
    <n v="263.38208646549748"/>
    <n v="-143.87609021053078"/>
    <n v="-7.8566557485462196"/>
    <n v="-151.73274595907699"/>
    <n v="0"/>
    <n v="0"/>
    <n v="0"/>
    <n v="-151.73274595907699"/>
  </r>
  <r>
    <x v="4"/>
    <d v="2022-06-03T00:00:00"/>
    <d v="2022-06-23T00:00:00"/>
    <x v="5"/>
    <n v="9"/>
    <n v="42"/>
    <n v="7.7465319548675735"/>
    <n v="3.5148822427931381"/>
    <n v="147.62505419731181"/>
    <n v="325.3543421044381"/>
    <n v="-177.72928790712629"/>
    <n v="-9.7052806305570947"/>
    <n v="-187.43456853768339"/>
    <n v="0"/>
    <n v="0"/>
    <n v="0"/>
    <n v="-187.43456853768339"/>
  </r>
  <r>
    <x v="5"/>
    <d v="2022-07-05T00:00:00"/>
    <d v="2022-07-25T00:00:00"/>
    <x v="5"/>
    <n v="9"/>
    <n v="49"/>
    <n v="7.7465319548675735"/>
    <n v="3.5148822427931381"/>
    <n v="172.22922989686376"/>
    <n v="379.58006578851109"/>
    <n v="-207.35083589164734"/>
    <n v="-11.32282740231661"/>
    <n v="-218.67366329396395"/>
    <n v="0"/>
    <n v="0"/>
    <n v="0"/>
    <n v="-218.67366329396395"/>
  </r>
  <r>
    <x v="6"/>
    <d v="2022-08-03T00:00:00"/>
    <d v="2022-08-23T00:00:00"/>
    <x v="5"/>
    <n v="9"/>
    <n v="54"/>
    <n v="7.7465319548675735"/>
    <n v="3.5148822427931381"/>
    <n v="189.80364111082946"/>
    <n v="418.31272556284898"/>
    <n v="-228.50908445201952"/>
    <n v="-12.478217953573408"/>
    <n v="-240.98730240559294"/>
    <n v="0"/>
    <n v="0"/>
    <n v="0"/>
    <n v="-240.98730240559294"/>
  </r>
  <r>
    <x v="7"/>
    <d v="2022-09-05T00:00:00"/>
    <d v="2022-09-23T00:00:00"/>
    <x v="5"/>
    <n v="9"/>
    <n v="47"/>
    <n v="7.7465319548675735"/>
    <n v="3.5148822427931381"/>
    <n v="165.19946541127749"/>
    <n v="364.08700187877594"/>
    <n v="-198.88753646749845"/>
    <n v="-10.860671181813892"/>
    <n v="-209.74820764931235"/>
    <n v="0"/>
    <n v="0"/>
    <n v="0"/>
    <n v="-209.74820764931235"/>
  </r>
  <r>
    <x v="8"/>
    <d v="2022-10-05T00:00:00"/>
    <d v="2022-10-25T00:00:00"/>
    <x v="5"/>
    <n v="9"/>
    <n v="47"/>
    <n v="7.7465319548675735"/>
    <n v="3.5148822427931381"/>
    <n v="165.19946541127749"/>
    <n v="364.08700187877594"/>
    <n v="-198.88753646749845"/>
    <n v="-10.860671181813892"/>
    <n v="-209.74820764931235"/>
    <n v="0"/>
    <n v="0"/>
    <n v="0"/>
    <n v="-209.74820764931235"/>
  </r>
  <r>
    <x v="9"/>
    <d v="2022-11-03T00:00:00"/>
    <d v="2022-11-23T00:00:00"/>
    <x v="5"/>
    <n v="9"/>
    <n v="39"/>
    <n v="7.7465319548675735"/>
    <n v="3.5148822427931381"/>
    <n v="137.08040746893238"/>
    <n v="302.11474623983537"/>
    <n v="-165.03433877090299"/>
    <n v="-9.012046299803016"/>
    <n v="-174.04638507070601"/>
    <n v="0"/>
    <n v="0"/>
    <n v="0"/>
    <n v="-174.04638507070601"/>
  </r>
  <r>
    <x v="10"/>
    <d v="2022-12-05T00:00:00"/>
    <d v="2022-12-23T00:00:00"/>
    <x v="5"/>
    <n v="9"/>
    <n v="45"/>
    <n v="7.7465319548675735"/>
    <n v="3.5148822427931381"/>
    <n v="158.16970092569122"/>
    <n v="348.59393796904078"/>
    <n v="-190.42423704334956"/>
    <n v="-10.398514961311173"/>
    <n v="-200.82275200466074"/>
    <n v="0"/>
    <n v="0"/>
    <n v="0"/>
    <n v="-200.82275200466074"/>
  </r>
  <r>
    <x v="11"/>
    <d v="2023-01-04T00:00:00"/>
    <d v="2023-01-24T00:00:00"/>
    <x v="5"/>
    <n v="9"/>
    <n v="61"/>
    <n v="7.7465319548675735"/>
    <n v="3.5148822427931381"/>
    <n v="214.40781681038143"/>
    <n v="472.53844924692197"/>
    <n v="-258.13063243654051"/>
    <n v="-14.095764725332922"/>
    <n v="-272.22639716187342"/>
    <n v="0"/>
    <n v="0"/>
    <n v="0"/>
    <n v="-272.22639716187342"/>
  </r>
  <r>
    <x v="0"/>
    <d v="2022-02-03T00:00:00"/>
    <d v="2022-02-23T00:00:00"/>
    <x v="6"/>
    <n v="9"/>
    <n v="92"/>
    <n v="7.7465319548675735"/>
    <n v="3.5148822427931381"/>
    <n v="323.3691663369687"/>
    <n v="712.68093984781672"/>
    <n v="-389.31177351084801"/>
    <n v="-21.259186143125063"/>
    <n v="-410.57095965397309"/>
    <n v="0"/>
    <n v="0"/>
    <n v="0"/>
    <n v="-410.57095965397309"/>
  </r>
  <r>
    <x v="1"/>
    <d v="2022-03-03T00:00:00"/>
    <d v="2022-03-22T00:00:00"/>
    <x v="6"/>
    <n v="9"/>
    <n v="88"/>
    <n v="7.7465319548675735"/>
    <n v="3.5148822427931381"/>
    <n v="309.30963736579616"/>
    <n v="681.69481202834652"/>
    <n v="-372.38517466255036"/>
    <n v="-20.334873702119626"/>
    <n v="-392.72004836466999"/>
    <n v="0"/>
    <n v="0"/>
    <n v="0"/>
    <n v="-392.72004836466999"/>
  </r>
  <r>
    <x v="2"/>
    <d v="2022-04-05T00:00:00"/>
    <d v="2022-04-25T00:00:00"/>
    <x v="6"/>
    <n v="9"/>
    <n v="71"/>
    <n v="7.7465319548675735"/>
    <n v="3.5148822427931381"/>
    <n v="249.55663923831281"/>
    <n v="550.00376879559769"/>
    <n v="-300.44712955728488"/>
    <n v="-16.406545827846518"/>
    <n v="-316.8536753851314"/>
    <n v="0"/>
    <n v="0"/>
    <n v="0"/>
    <n v="-316.8536753851314"/>
  </r>
  <r>
    <x v="3"/>
    <d v="2022-05-04T00:00:00"/>
    <d v="2022-05-24T00:00:00"/>
    <x v="6"/>
    <n v="9"/>
    <n v="76"/>
    <n v="7.7465319548675735"/>
    <n v="3.5148822427931381"/>
    <n v="267.13105045227849"/>
    <n v="588.73642856993558"/>
    <n v="-321.6053781176571"/>
    <n v="-17.561936379103315"/>
    <n v="-339.16731449676041"/>
    <n v="0"/>
    <n v="0"/>
    <n v="0"/>
    <n v="-339.16731449676041"/>
  </r>
  <r>
    <x v="4"/>
    <d v="2022-06-03T00:00:00"/>
    <d v="2022-06-23T00:00:00"/>
    <x v="6"/>
    <n v="9"/>
    <n v="134"/>
    <n v="7.7465319548675735"/>
    <n v="3.5148822427931381"/>
    <n v="470.99422053428049"/>
    <n v="1038.0352819522548"/>
    <n v="-567.04106141797433"/>
    <n v="-30.964466773682158"/>
    <n v="-598.00552819165648"/>
    <n v="0"/>
    <n v="0"/>
    <n v="0"/>
    <n v="-598.00552819165648"/>
  </r>
  <r>
    <x v="5"/>
    <d v="2022-07-05T00:00:00"/>
    <d v="2022-07-25T00:00:00"/>
    <x v="6"/>
    <n v="9"/>
    <n v="145"/>
    <n v="7.7465319548675735"/>
    <n v="3.5148822427931381"/>
    <n v="509.65792520500503"/>
    <n v="1123.2471334557981"/>
    <n v="-613.58920825079304"/>
    <n v="-33.506325986447109"/>
    <n v="-647.09553423724014"/>
    <n v="0"/>
    <n v="0"/>
    <n v="0"/>
    <n v="-647.09553423724014"/>
  </r>
  <r>
    <x v="6"/>
    <d v="2022-08-03T00:00:00"/>
    <d v="2022-08-23T00:00:00"/>
    <x v="6"/>
    <n v="9"/>
    <n v="161"/>
    <n v="7.7465319548675735"/>
    <n v="3.5148822427931381"/>
    <n v="565.89604108969525"/>
    <n v="1247.1916447336794"/>
    <n v="-681.29560364398412"/>
    <n v="-37.203575750468858"/>
    <n v="-718.49917939445299"/>
    <n v="0"/>
    <n v="0"/>
    <n v="0"/>
    <n v="-718.49917939445299"/>
  </r>
  <r>
    <x v="7"/>
    <d v="2022-09-05T00:00:00"/>
    <d v="2022-09-23T00:00:00"/>
    <x v="6"/>
    <n v="9"/>
    <n v="154"/>
    <n v="7.7465319548675735"/>
    <n v="3.5148822427931381"/>
    <n v="541.29186539014324"/>
    <n v="1192.9659210496063"/>
    <n v="-651.67405565946308"/>
    <n v="-35.586028978709351"/>
    <n v="-687.26008463817243"/>
    <n v="0"/>
    <n v="0"/>
    <n v="0"/>
    <n v="-687.26008463817243"/>
  </r>
  <r>
    <x v="8"/>
    <d v="2022-10-05T00:00:00"/>
    <d v="2022-10-25T00:00:00"/>
    <x v="6"/>
    <n v="9"/>
    <n v="132"/>
    <n v="7.7465319548675735"/>
    <n v="3.5148822427931381"/>
    <n v="463.96445604869422"/>
    <n v="1022.5422180425197"/>
    <n v="-558.57776199382556"/>
    <n v="-30.502310553179441"/>
    <n v="-589.08007254700499"/>
    <n v="0"/>
    <n v="0"/>
    <n v="0"/>
    <n v="-589.08007254700499"/>
  </r>
  <r>
    <x v="9"/>
    <d v="2022-11-03T00:00:00"/>
    <d v="2022-11-23T00:00:00"/>
    <x v="6"/>
    <n v="9"/>
    <n v="91"/>
    <n v="7.7465319548675735"/>
    <n v="3.5148822427931381"/>
    <n v="319.85428409417557"/>
    <n v="704.93440789294914"/>
    <n v="-385.08012379877357"/>
    <n v="-21.028108032873703"/>
    <n v="-406.10823183164729"/>
    <n v="0"/>
    <n v="0"/>
    <n v="0"/>
    <n v="-406.10823183164729"/>
  </r>
  <r>
    <x v="10"/>
    <d v="2022-12-05T00:00:00"/>
    <d v="2022-12-23T00:00:00"/>
    <x v="6"/>
    <n v="9"/>
    <n v="67"/>
    <n v="7.7465319548675735"/>
    <n v="3.5148822427931381"/>
    <n v="235.49711026714024"/>
    <n v="519.01764097612738"/>
    <n v="-283.52053070898717"/>
    <n v="-15.482233386841079"/>
    <n v="-299.00276409582824"/>
    <n v="0"/>
    <n v="0"/>
    <n v="0"/>
    <n v="-299.00276409582824"/>
  </r>
  <r>
    <x v="11"/>
    <d v="2023-01-04T00:00:00"/>
    <d v="2023-01-24T00:00:00"/>
    <x v="6"/>
    <n v="9"/>
    <n v="96"/>
    <n v="7.7465319548675735"/>
    <n v="3.5148822427931381"/>
    <n v="337.42869530814124"/>
    <n v="743.66706766728703"/>
    <n v="-406.23837235914579"/>
    <n v="-22.183498584130501"/>
    <n v="-428.4218709432763"/>
    <n v="0"/>
    <n v="0"/>
    <n v="0"/>
    <n v="-428.4218709432763"/>
  </r>
  <r>
    <x v="0"/>
    <d v="2022-02-03T00:00:00"/>
    <d v="2022-02-23T00:00:00"/>
    <x v="7"/>
    <n v="9"/>
    <n v="42"/>
    <n v="7.7465319548675735"/>
    <n v="3.5148822427931381"/>
    <n v="147.62505419731181"/>
    <n v="325.3543421044381"/>
    <n v="-177.72928790712629"/>
    <n v="-9.7052806305570947"/>
    <n v="-187.43456853768339"/>
    <n v="0"/>
    <n v="0"/>
    <n v="0"/>
    <n v="-187.43456853768339"/>
  </r>
  <r>
    <x v="1"/>
    <d v="2022-03-03T00:00:00"/>
    <d v="2022-03-22T00:00:00"/>
    <x v="7"/>
    <n v="9"/>
    <n v="43"/>
    <n v="7.7465319548675735"/>
    <n v="3.5148822427931381"/>
    <n v="151.13993644010495"/>
    <n v="333.10087405930568"/>
    <n v="-181.96093761920073"/>
    <n v="-9.9363587408084548"/>
    <n v="-191.89729636000919"/>
    <n v="0"/>
    <n v="0"/>
    <n v="0"/>
    <n v="-191.89729636000919"/>
  </r>
  <r>
    <x v="2"/>
    <d v="2022-04-05T00:00:00"/>
    <d v="2022-04-25T00:00:00"/>
    <x v="7"/>
    <n v="9"/>
    <n v="42"/>
    <n v="7.7465319548675735"/>
    <n v="3.5148822427931381"/>
    <n v="147.62505419731181"/>
    <n v="325.3543421044381"/>
    <n v="-177.72928790712629"/>
    <n v="-9.7052806305570947"/>
    <n v="-187.43456853768339"/>
    <n v="0"/>
    <n v="0"/>
    <n v="0"/>
    <n v="-187.43456853768339"/>
  </r>
  <r>
    <x v="3"/>
    <d v="2022-05-04T00:00:00"/>
    <d v="2022-05-24T00:00:00"/>
    <x v="7"/>
    <n v="9"/>
    <n v="52"/>
    <n v="7.7465319548675735"/>
    <n v="3.5148822427931381"/>
    <n v="182.77387662524319"/>
    <n v="402.81966165311383"/>
    <n v="-220.04578502787064"/>
    <n v="-12.016061733070687"/>
    <n v="-232.06184676094134"/>
    <n v="0"/>
    <n v="0"/>
    <n v="0"/>
    <n v="-232.06184676094134"/>
  </r>
  <r>
    <x v="4"/>
    <d v="2022-06-03T00:00:00"/>
    <d v="2022-06-23T00:00:00"/>
    <x v="7"/>
    <n v="9"/>
    <n v="52"/>
    <n v="7.7465319548675735"/>
    <n v="3.5148822427931381"/>
    <n v="182.77387662524319"/>
    <n v="402.81966165311383"/>
    <n v="-220.04578502787064"/>
    <n v="-12.016061733070687"/>
    <n v="-232.06184676094134"/>
    <n v="0"/>
    <n v="0"/>
    <n v="0"/>
    <n v="-232.06184676094134"/>
  </r>
  <r>
    <x v="5"/>
    <d v="2022-07-05T00:00:00"/>
    <d v="2022-07-25T00:00:00"/>
    <x v="7"/>
    <n v="9"/>
    <n v="56"/>
    <n v="7.7465319548675735"/>
    <n v="3.5148822427931381"/>
    <n v="196.83340559641573"/>
    <n v="433.80578947258414"/>
    <n v="-236.97238387616841"/>
    <n v="-12.940374174076124"/>
    <n v="-249.91275805024452"/>
    <n v="0"/>
    <n v="0"/>
    <n v="0"/>
    <n v="-249.91275805024452"/>
  </r>
  <r>
    <x v="6"/>
    <d v="2022-08-03T00:00:00"/>
    <d v="2022-08-23T00:00:00"/>
    <x v="7"/>
    <n v="9"/>
    <n v="58"/>
    <n v="7.7465319548675735"/>
    <n v="3.5148822427931381"/>
    <n v="203.863170082002"/>
    <n v="449.29885338231924"/>
    <n v="-245.43568330031724"/>
    <n v="-13.402530394578845"/>
    <n v="-258.83821369489607"/>
    <n v="0"/>
    <n v="0"/>
    <n v="0"/>
    <n v="-258.83821369489607"/>
  </r>
  <r>
    <x v="7"/>
    <d v="2022-09-05T00:00:00"/>
    <d v="2022-09-23T00:00:00"/>
    <x v="7"/>
    <n v="9"/>
    <n v="60"/>
    <n v="7.7465319548675735"/>
    <n v="3.5148822427931381"/>
    <n v="210.8929345675883"/>
    <n v="464.79191729205439"/>
    <n v="-253.89898272446609"/>
    <n v="-13.864686615081563"/>
    <n v="-267.76366933954768"/>
    <n v="0"/>
    <n v="0"/>
    <n v="0"/>
    <n v="-267.76366933954768"/>
  </r>
  <r>
    <x v="8"/>
    <d v="2022-10-05T00:00:00"/>
    <d v="2022-10-25T00:00:00"/>
    <x v="7"/>
    <n v="9"/>
    <n v="58"/>
    <n v="7.7465319548675735"/>
    <n v="3.5148822427931381"/>
    <n v="203.863170082002"/>
    <n v="449.29885338231924"/>
    <n v="-245.43568330031724"/>
    <n v="-13.402530394578845"/>
    <n v="-258.83821369489607"/>
    <n v="0"/>
    <n v="0"/>
    <n v="0"/>
    <n v="-258.83821369489607"/>
  </r>
  <r>
    <x v="9"/>
    <d v="2022-11-03T00:00:00"/>
    <d v="2022-11-23T00:00:00"/>
    <x v="7"/>
    <n v="9"/>
    <n v="56"/>
    <n v="7.7465319548675735"/>
    <n v="3.5148822427931381"/>
    <n v="196.83340559641573"/>
    <n v="433.80578947258414"/>
    <n v="-236.97238387616841"/>
    <n v="-12.940374174076124"/>
    <n v="-249.91275805024452"/>
    <n v="0"/>
    <n v="0"/>
    <n v="0"/>
    <n v="-249.91275805024452"/>
  </r>
  <r>
    <x v="10"/>
    <d v="2022-12-05T00:00:00"/>
    <d v="2022-12-23T00:00:00"/>
    <x v="7"/>
    <n v="9"/>
    <n v="59"/>
    <n v="7.7465319548675735"/>
    <n v="3.5148822427931381"/>
    <n v="207.37805232479514"/>
    <n v="457.04538533718681"/>
    <n v="-249.66733301239168"/>
    <n v="-13.633608504830205"/>
    <n v="-263.30094151722187"/>
    <n v="0"/>
    <n v="0"/>
    <n v="0"/>
    <n v="-263.30094151722187"/>
  </r>
  <r>
    <x v="11"/>
    <d v="2023-01-04T00:00:00"/>
    <d v="2023-01-24T00:00:00"/>
    <x v="7"/>
    <n v="9"/>
    <n v="58"/>
    <n v="7.7465319548675735"/>
    <n v="3.5148822427931381"/>
    <n v="203.863170082002"/>
    <n v="449.29885338231924"/>
    <n v="-245.43568330031724"/>
    <n v="-13.402530394578845"/>
    <n v="-258.83821369489607"/>
    <n v="0"/>
    <n v="0"/>
    <n v="0"/>
    <n v="-258.83821369489607"/>
  </r>
  <r>
    <x v="0"/>
    <d v="2022-02-03T00:00:00"/>
    <d v="2022-02-23T00:00:00"/>
    <x v="8"/>
    <n v="9"/>
    <n v="1045"/>
    <n v="7.7465319548675735"/>
    <n v="3.5148822427931381"/>
    <n v="3673.0519437188295"/>
    <n v="8095.1258928366142"/>
    <n v="-4422.0739491177847"/>
    <n v="-241.4766252126706"/>
    <n v="-4663.5505743304557"/>
    <n v="0"/>
    <n v="0"/>
    <n v="0"/>
    <n v="-4663.5505743304557"/>
  </r>
  <r>
    <x v="1"/>
    <d v="2022-03-03T00:00:00"/>
    <d v="2022-03-22T00:00:00"/>
    <x v="8"/>
    <n v="9"/>
    <n v="1114"/>
    <n v="7.7465319548675735"/>
    <n v="3.5148822427931381"/>
    <n v="3915.5788184715557"/>
    <n v="8629.6365977224777"/>
    <n v="-4714.0577792509221"/>
    <n v="-257.42101482001436"/>
    <n v="-4971.4787940709366"/>
    <n v="0"/>
    <n v="0"/>
    <n v="0"/>
    <n v="-4971.4787940709366"/>
  </r>
  <r>
    <x v="2"/>
    <d v="2022-04-05T00:00:00"/>
    <d v="2022-04-25T00:00:00"/>
    <x v="8"/>
    <n v="9"/>
    <n v="977"/>
    <n v="7.7465319548675735"/>
    <n v="3.5148822427931381"/>
    <n v="3434.0399512088961"/>
    <n v="7568.3617199056189"/>
    <n v="-4134.3217686967228"/>
    <n v="-225.76331371557811"/>
    <n v="-4360.0850824123008"/>
    <n v="0"/>
    <n v="0"/>
    <n v="0"/>
    <n v="-4360.0850824123008"/>
  </r>
  <r>
    <x v="3"/>
    <d v="2022-05-04T00:00:00"/>
    <d v="2022-05-24T00:00:00"/>
    <x v="8"/>
    <n v="9"/>
    <n v="539"/>
    <n v="7.7465319548675735"/>
    <n v="3.5148822427931381"/>
    <n v="1894.5215288655015"/>
    <n v="4175.380723673622"/>
    <n v="-2280.8591948081203"/>
    <n v="-124.55110142548271"/>
    <n v="-2405.4102962336028"/>
    <n v="0"/>
    <n v="0"/>
    <n v="0"/>
    <n v="-2405.4102962336028"/>
  </r>
  <r>
    <x v="4"/>
    <d v="2022-06-03T00:00:00"/>
    <d v="2022-06-23T00:00:00"/>
    <x v="8"/>
    <n v="9"/>
    <n v="754"/>
    <n v="7.7465319548675735"/>
    <n v="3.5148822427931381"/>
    <n v="2650.2212110660262"/>
    <n v="5840.8850939701506"/>
    <n v="-3190.6638829041244"/>
    <n v="-174.23289512952499"/>
    <n v="-3364.8967780336493"/>
    <n v="0"/>
    <n v="0"/>
    <n v="0"/>
    <n v="-3364.8967780336493"/>
  </r>
  <r>
    <x v="5"/>
    <d v="2022-07-05T00:00:00"/>
    <d v="2022-07-25T00:00:00"/>
    <x v="8"/>
    <n v="9"/>
    <n v="946"/>
    <n v="7.7465319548675735"/>
    <n v="3.5148822427931381"/>
    <n v="3325.0786016823085"/>
    <n v="7328.2192293047246"/>
    <n v="-4003.1406276224161"/>
    <n v="-218.599892297786"/>
    <n v="-4221.7405199202021"/>
    <n v="0"/>
    <n v="0"/>
    <n v="0"/>
    <n v="-4221.7405199202021"/>
  </r>
  <r>
    <x v="6"/>
    <d v="2022-08-03T00:00:00"/>
    <d v="2022-08-23T00:00:00"/>
    <x v="8"/>
    <n v="9"/>
    <n v="979"/>
    <n v="7.7465319548675735"/>
    <n v="3.5148822427931381"/>
    <n v="3441.0697156944821"/>
    <n v="7583.8547838153545"/>
    <n v="-4142.7850681208729"/>
    <n v="-226.22546993608083"/>
    <n v="-4369.0105380569539"/>
    <n v="0"/>
    <n v="0"/>
    <n v="0"/>
    <n v="-4369.0105380569539"/>
  </r>
  <r>
    <x v="7"/>
    <d v="2022-09-05T00:00:00"/>
    <d v="2022-09-23T00:00:00"/>
    <x v="8"/>
    <n v="9"/>
    <n v="973"/>
    <n v="7.7465319548675735"/>
    <n v="3.5148822427931381"/>
    <n v="3419.9804222377234"/>
    <n v="7537.3755920861486"/>
    <n v="-4117.3951698484252"/>
    <n v="-224.83900127457269"/>
    <n v="-4342.2341711229983"/>
    <n v="0"/>
    <n v="0"/>
    <n v="0"/>
    <n v="-4342.2341711229983"/>
  </r>
  <r>
    <x v="8"/>
    <d v="2022-10-05T00:00:00"/>
    <d v="2022-10-25T00:00:00"/>
    <x v="8"/>
    <n v="9"/>
    <n v="847"/>
    <n v="7.7465319548675735"/>
    <n v="3.5148822427931381"/>
    <n v="2977.105259645788"/>
    <n v="6561.3125657728351"/>
    <n v="-3584.2073061270471"/>
    <n v="-195.7231593829014"/>
    <n v="-3779.9304655099486"/>
    <n v="0"/>
    <n v="0"/>
    <n v="0"/>
    <n v="-3779.9304655099486"/>
  </r>
  <r>
    <x v="9"/>
    <d v="2022-11-03T00:00:00"/>
    <d v="2022-11-23T00:00:00"/>
    <x v="8"/>
    <n v="9"/>
    <n v="609"/>
    <n v="7.7465319548675735"/>
    <n v="3.5148822427931381"/>
    <n v="2140.5632858610211"/>
    <n v="4717.637960514352"/>
    <n v="-2577.0746746533309"/>
    <n v="-140.72656914307788"/>
    <n v="-2717.8012437964089"/>
    <n v="0"/>
    <n v="0"/>
    <n v="0"/>
    <n v="-2717.8012437964089"/>
  </r>
  <r>
    <x v="10"/>
    <d v="2022-12-05T00:00:00"/>
    <d v="2022-12-23T00:00:00"/>
    <x v="8"/>
    <n v="9"/>
    <n v="807"/>
    <n v="7.7465319548675735"/>
    <n v="3.5148822427931381"/>
    <n v="2836.5099699340626"/>
    <n v="6251.451287578132"/>
    <n v="-3414.9413176440694"/>
    <n v="-186.48003497284702"/>
    <n v="-3601.4213526169165"/>
    <n v="0"/>
    <n v="0"/>
    <n v="0"/>
    <n v="-3601.4213526169165"/>
  </r>
  <r>
    <x v="11"/>
    <d v="2023-01-04T00:00:00"/>
    <d v="2023-01-24T00:00:00"/>
    <x v="8"/>
    <n v="9"/>
    <n v="1434"/>
    <n v="7.7465319548675735"/>
    <n v="3.5148822427931381"/>
    <n v="5040.3411361653598"/>
    <n v="11108.526823280101"/>
    <n v="-6068.1856871147411"/>
    <n v="-331.36601010044933"/>
    <n v="-6399.5516972151909"/>
    <n v="0"/>
    <n v="0"/>
    <n v="0"/>
    <n v="-6399.5516972151909"/>
  </r>
  <r>
    <x v="0"/>
    <d v="2022-02-03T00:00:00"/>
    <d v="2022-02-23T00:00:00"/>
    <x v="9"/>
    <n v="9"/>
    <n v="8"/>
    <n v="7.7465319548675735"/>
    <n v="3.5148822427931381"/>
    <n v="28.119057942345105"/>
    <n v="61.972255638940588"/>
    <n v="-33.853197696595487"/>
    <n v="-1.8486248820108753"/>
    <n v="-35.701822578606361"/>
    <n v="0"/>
    <n v="0"/>
    <n v="0"/>
    <n v="-35.701822578606361"/>
  </r>
  <r>
    <x v="1"/>
    <d v="2022-03-03T00:00:00"/>
    <d v="2022-03-22T00:00:00"/>
    <x v="9"/>
    <n v="9"/>
    <n v="7"/>
    <n v="7.7465319548675735"/>
    <n v="3.5148822427931381"/>
    <n v="24.604175699551966"/>
    <n v="54.225723684073017"/>
    <n v="-29.621547984521051"/>
    <n v="-1.6175467717595156"/>
    <n v="-31.239094756280565"/>
    <n v="0"/>
    <n v="0"/>
    <n v="0"/>
    <n v="-31.239094756280565"/>
  </r>
  <r>
    <x v="2"/>
    <d v="2022-04-05T00:00:00"/>
    <d v="2022-04-25T00:00:00"/>
    <x v="9"/>
    <n v="9"/>
    <n v="5"/>
    <n v="7.7465319548675735"/>
    <n v="3.5148822427931381"/>
    <n v="17.574411213965689"/>
    <n v="38.732659774337868"/>
    <n v="-21.158248560372179"/>
    <n v="-1.155390551256797"/>
    <n v="-22.313639111628977"/>
    <n v="0"/>
    <n v="0"/>
    <n v="0"/>
    <n v="-22.313639111628977"/>
  </r>
  <r>
    <x v="3"/>
    <d v="2022-05-04T00:00:00"/>
    <d v="2022-05-24T00:00:00"/>
    <x v="9"/>
    <n v="9"/>
    <n v="7"/>
    <n v="7.7465319548675735"/>
    <n v="3.5148822427931381"/>
    <n v="24.604175699551966"/>
    <n v="54.225723684073017"/>
    <n v="-29.621547984521051"/>
    <n v="-1.6175467717595156"/>
    <n v="-31.239094756280565"/>
    <n v="0"/>
    <n v="0"/>
    <n v="0"/>
    <n v="-31.239094756280565"/>
  </r>
  <r>
    <x v="4"/>
    <d v="2022-06-03T00:00:00"/>
    <d v="2022-06-23T00:00:00"/>
    <x v="9"/>
    <n v="9"/>
    <n v="10"/>
    <n v="7.7465319548675735"/>
    <n v="3.5148822427931381"/>
    <n v="35.148822427931378"/>
    <n v="77.465319548675737"/>
    <n v="-42.316497120744359"/>
    <n v="-2.310781102513594"/>
    <n v="-44.627278223257953"/>
    <n v="0"/>
    <n v="0"/>
    <n v="0"/>
    <n v="-44.627278223257953"/>
  </r>
  <r>
    <x v="5"/>
    <d v="2022-07-05T00:00:00"/>
    <d v="2022-07-25T00:00:00"/>
    <x v="9"/>
    <n v="9"/>
    <n v="14"/>
    <n v="7.7465319548675735"/>
    <n v="3.5148822427931381"/>
    <n v="49.208351399103933"/>
    <n v="108.45144736814603"/>
    <n v="-59.243095969042102"/>
    <n v="-3.2350935435190311"/>
    <n v="-62.47818951256113"/>
    <n v="0"/>
    <n v="0"/>
    <n v="0"/>
    <n v="-62.47818951256113"/>
  </r>
  <r>
    <x v="6"/>
    <d v="2022-08-03T00:00:00"/>
    <d v="2022-08-23T00:00:00"/>
    <x v="9"/>
    <n v="9"/>
    <n v="18"/>
    <n v="7.7465319548675735"/>
    <n v="3.5148822427931381"/>
    <n v="63.267880370276487"/>
    <n v="139.43757518761632"/>
    <n v="-76.169694817339831"/>
    <n v="-4.1594059845244695"/>
    <n v="-80.3291008018643"/>
    <n v="0"/>
    <n v="0"/>
    <n v="0"/>
    <n v="-80.3291008018643"/>
  </r>
  <r>
    <x v="7"/>
    <d v="2022-09-05T00:00:00"/>
    <d v="2022-09-23T00:00:00"/>
    <x v="9"/>
    <n v="9"/>
    <n v="16"/>
    <n v="7.7465319548675735"/>
    <n v="3.5148822427931381"/>
    <n v="56.23811588469021"/>
    <n v="123.94451127788118"/>
    <n v="-67.706395393190974"/>
    <n v="-3.6972497640217505"/>
    <n v="-71.403645157212722"/>
    <n v="0"/>
    <n v="0"/>
    <n v="0"/>
    <n v="-71.403645157212722"/>
  </r>
  <r>
    <x v="8"/>
    <d v="2022-10-05T00:00:00"/>
    <d v="2022-10-25T00:00:00"/>
    <x v="9"/>
    <n v="9"/>
    <n v="9"/>
    <n v="7.7465319548675735"/>
    <n v="3.5148822427931381"/>
    <n v="31.633940185138243"/>
    <n v="69.718787593808159"/>
    <n v="-38.084847408669916"/>
    <n v="-2.0797029922622348"/>
    <n v="-40.16455040093215"/>
    <n v="0"/>
    <n v="0"/>
    <n v="0"/>
    <n v="-40.16455040093215"/>
  </r>
  <r>
    <x v="9"/>
    <d v="2022-11-03T00:00:00"/>
    <d v="2022-11-23T00:00:00"/>
    <x v="9"/>
    <n v="9"/>
    <n v="6"/>
    <n v="7.7465319548675735"/>
    <n v="3.5148822427931381"/>
    <n v="21.089293456758828"/>
    <n v="46.479191729205439"/>
    <n v="-25.389898272446612"/>
    <n v="-1.3864686615081563"/>
    <n v="-26.776366933954769"/>
    <n v="0"/>
    <n v="0"/>
    <n v="0"/>
    <n v="-26.776366933954769"/>
  </r>
  <r>
    <x v="10"/>
    <d v="2022-12-05T00:00:00"/>
    <d v="2022-12-23T00:00:00"/>
    <x v="9"/>
    <n v="9"/>
    <n v="6"/>
    <n v="7.7465319548675735"/>
    <n v="3.5148822427931381"/>
    <n v="21.089293456758828"/>
    <n v="46.479191729205439"/>
    <n v="-25.389898272446612"/>
    <n v="-1.3864686615081563"/>
    <n v="-26.776366933954769"/>
    <n v="0"/>
    <n v="0"/>
    <n v="0"/>
    <n v="-26.776366933954769"/>
  </r>
  <r>
    <x v="11"/>
    <d v="2023-01-04T00:00:00"/>
    <d v="2023-01-24T00:00:00"/>
    <x v="9"/>
    <n v="9"/>
    <n v="8"/>
    <n v="7.7465319548675735"/>
    <n v="3.5148822427931381"/>
    <n v="28.119057942345105"/>
    <n v="61.972255638940588"/>
    <n v="-33.853197696595487"/>
    <n v="-1.8486248820108753"/>
    <n v="-35.701822578606361"/>
    <n v="0"/>
    <n v="0"/>
    <n v="0"/>
    <n v="-35.701822578606361"/>
  </r>
  <r>
    <x v="0"/>
    <d v="2022-02-03T00:00:00"/>
    <d v="2022-02-23T00:00:00"/>
    <x v="10"/>
    <n v="9"/>
    <n v="3"/>
    <n v="7.7465319548675735"/>
    <n v="3.5148822427931381"/>
    <n v="10.544646728379414"/>
    <n v="23.23959586460272"/>
    <n v="-12.694949136223306"/>
    <n v="-0.69323433075407814"/>
    <n v="-13.388183466977384"/>
    <n v="0"/>
    <n v="0"/>
    <n v="0"/>
    <n v="-13.388183466977384"/>
  </r>
  <r>
    <x v="1"/>
    <d v="2022-03-03T00:00:00"/>
    <d v="2022-03-22T00:00:00"/>
    <x v="10"/>
    <n v="9"/>
    <n v="2"/>
    <n v="7.7465319548675735"/>
    <n v="3.5148822427931381"/>
    <n v="7.0297644855862762"/>
    <n v="15.493063909735147"/>
    <n v="-8.4632994241488717"/>
    <n v="-0.46215622050271882"/>
    <n v="-8.9254556446515902"/>
    <n v="0"/>
    <n v="0"/>
    <n v="0"/>
    <n v="-8.9254556446515902"/>
  </r>
  <r>
    <x v="2"/>
    <d v="2022-04-05T00:00:00"/>
    <d v="2022-04-25T00:00:00"/>
    <x v="10"/>
    <n v="9"/>
    <n v="3"/>
    <n v="7.7465319548675735"/>
    <n v="3.5148822427931381"/>
    <n v="10.544646728379414"/>
    <n v="23.23959586460272"/>
    <n v="-12.694949136223306"/>
    <n v="-0.69323433075407814"/>
    <n v="-13.388183466977384"/>
    <n v="0"/>
    <n v="0"/>
    <n v="0"/>
    <n v="-13.388183466977384"/>
  </r>
  <r>
    <x v="3"/>
    <d v="2022-05-04T00:00:00"/>
    <d v="2022-05-24T00:00:00"/>
    <x v="10"/>
    <n v="9"/>
    <n v="2"/>
    <n v="7.7465319548675735"/>
    <n v="3.5148822427931381"/>
    <n v="7.0297644855862762"/>
    <n v="15.493063909735147"/>
    <n v="-8.4632994241488717"/>
    <n v="-0.46215622050271882"/>
    <n v="-8.9254556446515902"/>
    <n v="0"/>
    <n v="0"/>
    <n v="0"/>
    <n v="-8.9254556446515902"/>
  </r>
  <r>
    <x v="4"/>
    <d v="2022-06-03T00:00:00"/>
    <d v="2022-06-23T00:00:00"/>
    <x v="10"/>
    <n v="9"/>
    <n v="3"/>
    <n v="7.7465319548675735"/>
    <n v="3.5148822427931381"/>
    <n v="10.544646728379414"/>
    <n v="23.23959586460272"/>
    <n v="-12.694949136223306"/>
    <n v="-0.69323433075407814"/>
    <n v="-13.388183466977384"/>
    <n v="0"/>
    <n v="0"/>
    <n v="0"/>
    <n v="-13.388183466977384"/>
  </r>
  <r>
    <x v="5"/>
    <d v="2022-07-05T00:00:00"/>
    <d v="2022-07-25T00:00:00"/>
    <x v="10"/>
    <n v="9"/>
    <n v="5"/>
    <n v="7.7465319548675735"/>
    <n v="3.5148822427931381"/>
    <n v="17.574411213965689"/>
    <n v="38.732659774337868"/>
    <n v="-21.158248560372179"/>
    <n v="-1.155390551256797"/>
    <n v="-22.313639111628977"/>
    <n v="0"/>
    <n v="0"/>
    <n v="0"/>
    <n v="-22.313639111628977"/>
  </r>
  <r>
    <x v="6"/>
    <d v="2022-08-03T00:00:00"/>
    <d v="2022-08-23T00:00:00"/>
    <x v="10"/>
    <n v="9"/>
    <n v="6"/>
    <n v="7.7465319548675735"/>
    <n v="3.5148822427931381"/>
    <n v="21.089293456758828"/>
    <n v="46.479191729205439"/>
    <n v="-25.389898272446612"/>
    <n v="-1.3864686615081563"/>
    <n v="-26.776366933954769"/>
    <n v="0"/>
    <n v="0"/>
    <n v="0"/>
    <n v="-26.776366933954769"/>
  </r>
  <r>
    <x v="7"/>
    <d v="2022-09-05T00:00:00"/>
    <d v="2022-09-23T00:00:00"/>
    <x v="10"/>
    <n v="9"/>
    <n v="6"/>
    <n v="7.7465319548675735"/>
    <n v="3.5148822427931381"/>
    <n v="21.089293456758828"/>
    <n v="46.479191729205439"/>
    <n v="-25.389898272446612"/>
    <n v="-1.3864686615081563"/>
    <n v="-26.776366933954769"/>
    <n v="0"/>
    <n v="0"/>
    <n v="0"/>
    <n v="-26.776366933954769"/>
  </r>
  <r>
    <x v="8"/>
    <d v="2022-10-05T00:00:00"/>
    <d v="2022-10-25T00:00:00"/>
    <x v="10"/>
    <n v="9"/>
    <n v="3"/>
    <n v="7.7465319548675735"/>
    <n v="3.5148822427931381"/>
    <n v="10.544646728379414"/>
    <n v="23.23959586460272"/>
    <n v="-12.694949136223306"/>
    <n v="-0.69323433075407814"/>
    <n v="-13.388183466977384"/>
    <n v="0"/>
    <n v="0"/>
    <n v="0"/>
    <n v="-13.388183466977384"/>
  </r>
  <r>
    <x v="9"/>
    <d v="2022-11-03T00:00:00"/>
    <d v="2022-11-23T00:00:00"/>
    <x v="10"/>
    <n v="9"/>
    <n v="2"/>
    <n v="7.7465319548675735"/>
    <n v="3.5148822427931381"/>
    <n v="7.0297644855862762"/>
    <n v="15.493063909735147"/>
    <n v="-8.4632994241488717"/>
    <n v="-0.46215622050271882"/>
    <n v="-8.9254556446515902"/>
    <n v="0"/>
    <n v="0"/>
    <n v="0"/>
    <n v="-8.9254556446515902"/>
  </r>
  <r>
    <x v="10"/>
    <d v="2022-12-05T00:00:00"/>
    <d v="2022-12-23T00:00:00"/>
    <x v="10"/>
    <n v="9"/>
    <n v="1"/>
    <n v="7.7465319548675735"/>
    <n v="3.5148822427931381"/>
    <n v="3.5148822427931381"/>
    <n v="7.7465319548675735"/>
    <n v="-4.2316497120744359"/>
    <n v="-0.23107811025135941"/>
    <n v="-4.4627278223257951"/>
    <n v="0"/>
    <n v="0"/>
    <n v="0"/>
    <n v="-4.4627278223257951"/>
  </r>
  <r>
    <x v="11"/>
    <d v="2023-01-04T00:00:00"/>
    <d v="2023-01-24T00:00:00"/>
    <x v="10"/>
    <n v="9"/>
    <n v="4"/>
    <n v="7.7465319548675735"/>
    <n v="3.5148822427931381"/>
    <n v="14.059528971172552"/>
    <n v="30.986127819470294"/>
    <n v="-16.926598848297743"/>
    <n v="-0.92431244100543763"/>
    <n v="-17.85091128930318"/>
    <n v="0"/>
    <n v="0"/>
    <n v="0"/>
    <n v="-17.85091128930318"/>
  </r>
  <r>
    <x v="0"/>
    <d v="2022-02-03T00:00:00"/>
    <d v="2022-02-23T00:00:00"/>
    <x v="11"/>
    <n v="9"/>
    <n v="121"/>
    <n v="7.7465319548675735"/>
    <n v="3.5148822427931381"/>
    <n v="425.30075137796973"/>
    <n v="937.33036653897636"/>
    <n v="-512.02961516100663"/>
    <n v="-27.960451340414487"/>
    <n v="-539.9900665014211"/>
    <n v="0"/>
    <n v="0"/>
    <n v="0"/>
    <n v="-539.9900665014211"/>
  </r>
  <r>
    <x v="1"/>
    <d v="2022-03-03T00:00:00"/>
    <d v="2022-03-22T00:00:00"/>
    <x v="11"/>
    <n v="9"/>
    <n v="109"/>
    <n v="7.7465319548675735"/>
    <n v="3.5148822427931381"/>
    <n v="383.12216446445206"/>
    <n v="844.37198308056554"/>
    <n v="-461.24981861611349"/>
    <n v="-25.187514017398172"/>
    <n v="-486.43733263351169"/>
    <n v="0"/>
    <n v="0"/>
    <n v="0"/>
    <n v="-486.43733263351169"/>
  </r>
  <r>
    <x v="2"/>
    <d v="2022-04-05T00:00:00"/>
    <d v="2022-04-25T00:00:00"/>
    <x v="11"/>
    <n v="9"/>
    <n v="95"/>
    <n v="7.7465319548675735"/>
    <n v="3.5148822427931381"/>
    <n v="333.91381306534811"/>
    <n v="735.92053571241945"/>
    <n v="-402.00672264707134"/>
    <n v="-21.952420473879144"/>
    <n v="-423.9591431209505"/>
    <n v="0"/>
    <n v="0"/>
    <n v="0"/>
    <n v="-423.9591431209505"/>
  </r>
  <r>
    <x v="3"/>
    <d v="2022-05-04T00:00:00"/>
    <d v="2022-05-24T00:00:00"/>
    <x v="11"/>
    <n v="9"/>
    <n v="93"/>
    <n v="7.7465319548675735"/>
    <n v="3.5148822427931381"/>
    <n v="326.88404857976184"/>
    <n v="720.42747180268429"/>
    <n v="-393.54342322292246"/>
    <n v="-21.490264253376424"/>
    <n v="-415.03368747629889"/>
    <n v="0"/>
    <n v="0"/>
    <n v="0"/>
    <n v="-415.03368747629889"/>
  </r>
  <r>
    <x v="4"/>
    <d v="2022-06-03T00:00:00"/>
    <d v="2022-06-23T00:00:00"/>
    <x v="11"/>
    <n v="9"/>
    <n v="125"/>
    <n v="7.7465319548675735"/>
    <n v="3.5148822427931381"/>
    <n v="439.36028034914227"/>
    <n v="968.31649435844668"/>
    <n v="-528.9562140093044"/>
    <n v="-28.884763781419924"/>
    <n v="-557.84097779072431"/>
    <n v="0"/>
    <n v="0"/>
    <n v="0"/>
    <n v="-557.84097779072431"/>
  </r>
  <r>
    <x v="5"/>
    <d v="2022-07-05T00:00:00"/>
    <d v="2022-07-25T00:00:00"/>
    <x v="11"/>
    <n v="9"/>
    <n v="159"/>
    <n v="7.7465319548675735"/>
    <n v="3.5148822427931381"/>
    <n v="558.86627660410898"/>
    <n v="1231.6985808239442"/>
    <n v="-672.83230421983524"/>
    <n v="-36.741419529966144"/>
    <n v="-709.57372374980139"/>
    <n v="0"/>
    <n v="0"/>
    <n v="0"/>
    <n v="-709.57372374980139"/>
  </r>
  <r>
    <x v="6"/>
    <d v="2022-08-03T00:00:00"/>
    <d v="2022-08-23T00:00:00"/>
    <x v="11"/>
    <n v="9"/>
    <n v="176"/>
    <n v="7.7465319548675735"/>
    <n v="3.5148822427931381"/>
    <n v="618.61927473159233"/>
    <n v="1363.389624056693"/>
    <n v="-744.77034932510071"/>
    <n v="-40.669747404239253"/>
    <n v="-785.44009672933998"/>
    <n v="0"/>
    <n v="0"/>
    <n v="0"/>
    <n v="-785.44009672933998"/>
  </r>
  <r>
    <x v="7"/>
    <d v="2022-09-05T00:00:00"/>
    <d v="2022-09-23T00:00:00"/>
    <x v="11"/>
    <n v="9"/>
    <n v="167"/>
    <n v="7.7465319548675735"/>
    <n v="3.5148822427931381"/>
    <n v="586.98533454645406"/>
    <n v="1293.6708364628848"/>
    <n v="-706.68550191643078"/>
    <n v="-38.590044411977019"/>
    <n v="-745.27554632840781"/>
    <n v="0"/>
    <n v="0"/>
    <n v="0"/>
    <n v="-745.27554632840781"/>
  </r>
  <r>
    <x v="8"/>
    <d v="2022-10-05T00:00:00"/>
    <d v="2022-10-25T00:00:00"/>
    <x v="11"/>
    <n v="9"/>
    <n v="153"/>
    <n v="7.7465319548675735"/>
    <n v="3.5148822427931381"/>
    <n v="537.77698314735017"/>
    <n v="1185.2193890947387"/>
    <n v="-647.44240594738858"/>
    <n v="-35.354950868457983"/>
    <n v="-682.79735681584657"/>
    <n v="0"/>
    <n v="0"/>
    <n v="0"/>
    <n v="-682.79735681584657"/>
  </r>
  <r>
    <x v="9"/>
    <d v="2022-11-03T00:00:00"/>
    <d v="2022-11-23T00:00:00"/>
    <x v="11"/>
    <n v="9"/>
    <n v="104"/>
    <n v="7.7465319548675735"/>
    <n v="3.5148822427931381"/>
    <n v="365.54775325048638"/>
    <n v="805.63932330622765"/>
    <n v="-440.09157005574127"/>
    <n v="-24.032123466141375"/>
    <n v="-464.12369352188267"/>
    <n v="0"/>
    <n v="0"/>
    <n v="0"/>
    <n v="-464.12369352188267"/>
  </r>
  <r>
    <x v="10"/>
    <d v="2022-12-05T00:00:00"/>
    <d v="2022-12-23T00:00:00"/>
    <x v="11"/>
    <n v="9"/>
    <n v="104"/>
    <n v="7.7465319548675735"/>
    <n v="3.5148822427931381"/>
    <n v="365.54775325048638"/>
    <n v="805.63932330622765"/>
    <n v="-440.09157005574127"/>
    <n v="-24.032123466141375"/>
    <n v="-464.12369352188267"/>
    <n v="0"/>
    <n v="0"/>
    <n v="0"/>
    <n v="-464.12369352188267"/>
  </r>
  <r>
    <x v="11"/>
    <d v="2023-01-04T00:00:00"/>
    <d v="2023-01-24T00:00:00"/>
    <x v="11"/>
    <n v="9"/>
    <n v="139"/>
    <n v="7.7465319548675735"/>
    <n v="3.5148822427931381"/>
    <n v="488.56863174824622"/>
    <n v="1076.7679417265927"/>
    <n v="-588.19930997834649"/>
    <n v="-32.119857324938955"/>
    <n v="-620.31916730328544"/>
    <n v="0"/>
    <n v="0"/>
    <n v="0"/>
    <n v="-620.31916730328544"/>
  </r>
  <r>
    <x v="0"/>
    <d v="2022-02-03T00:00:00"/>
    <d v="2022-02-23T00:00:00"/>
    <x v="12"/>
    <n v="9"/>
    <n v="8"/>
    <n v="7.7465319548675735"/>
    <n v="3.5148822427931381"/>
    <n v="28.119057942345105"/>
    <n v="61.972255638940588"/>
    <n v="-33.853197696595487"/>
    <n v="-1.8486248820108753"/>
    <n v="-35.701822578606361"/>
    <n v="0"/>
    <n v="0"/>
    <n v="0"/>
    <n v="-35.701822578606361"/>
  </r>
  <r>
    <x v="1"/>
    <d v="2022-03-03T00:00:00"/>
    <d v="2022-03-22T00:00:00"/>
    <x v="12"/>
    <n v="9"/>
    <n v="11"/>
    <n v="7.7465319548675735"/>
    <n v="3.5148822427931381"/>
    <n v="38.66370467072452"/>
    <n v="85.211851503543315"/>
    <n v="-46.548146832818794"/>
    <n v="-2.5418592127649533"/>
    <n v="-49.090006045583749"/>
    <n v="0"/>
    <n v="0"/>
    <n v="0"/>
    <n v="-49.090006045583749"/>
  </r>
  <r>
    <x v="2"/>
    <d v="2022-04-05T00:00:00"/>
    <d v="2022-04-25T00:00:00"/>
    <x v="12"/>
    <n v="9"/>
    <n v="9"/>
    <n v="7.7465319548675735"/>
    <n v="3.5148822427931381"/>
    <n v="31.633940185138243"/>
    <n v="69.718787593808159"/>
    <n v="-38.084847408669916"/>
    <n v="-2.0797029922622348"/>
    <n v="-40.16455040093215"/>
    <n v="0"/>
    <n v="0"/>
    <n v="0"/>
    <n v="-40.16455040093215"/>
  </r>
  <r>
    <x v="3"/>
    <d v="2022-05-04T00:00:00"/>
    <d v="2022-05-24T00:00:00"/>
    <x v="12"/>
    <n v="9"/>
    <n v="11"/>
    <n v="7.7465319548675735"/>
    <n v="3.5148822427931381"/>
    <n v="38.66370467072452"/>
    <n v="85.211851503543315"/>
    <n v="-46.548146832818794"/>
    <n v="-2.5418592127649533"/>
    <n v="-49.090006045583749"/>
    <n v="0"/>
    <n v="0"/>
    <n v="0"/>
    <n v="-49.090006045583749"/>
  </r>
  <r>
    <x v="4"/>
    <d v="2022-06-03T00:00:00"/>
    <d v="2022-06-23T00:00:00"/>
    <x v="12"/>
    <n v="9"/>
    <n v="11"/>
    <n v="7.7465319548675735"/>
    <n v="3.5148822427931381"/>
    <n v="38.66370467072452"/>
    <n v="85.211851503543315"/>
    <n v="-46.548146832818794"/>
    <n v="-2.5418592127649533"/>
    <n v="-49.090006045583749"/>
    <n v="0"/>
    <n v="0"/>
    <n v="0"/>
    <n v="-49.090006045583749"/>
  </r>
  <r>
    <x v="5"/>
    <d v="2022-07-05T00:00:00"/>
    <d v="2022-07-25T00:00:00"/>
    <x v="12"/>
    <n v="9"/>
    <n v="14"/>
    <n v="7.7465319548675735"/>
    <n v="3.5148822427931381"/>
    <n v="49.208351399103933"/>
    <n v="108.45144736814603"/>
    <n v="-59.243095969042102"/>
    <n v="-3.2350935435190311"/>
    <n v="-62.47818951256113"/>
    <n v="0"/>
    <n v="0"/>
    <n v="0"/>
    <n v="-62.47818951256113"/>
  </r>
  <r>
    <x v="6"/>
    <d v="2022-08-03T00:00:00"/>
    <d v="2022-08-23T00:00:00"/>
    <x v="12"/>
    <n v="9"/>
    <n v="13"/>
    <n v="7.7465319548675735"/>
    <n v="3.5148822427931381"/>
    <n v="45.693469156310798"/>
    <n v="100.70491541327846"/>
    <n v="-55.011446256967659"/>
    <n v="-3.0040154332676718"/>
    <n v="-58.015461690235334"/>
    <n v="0"/>
    <n v="0"/>
    <n v="0"/>
    <n v="-58.015461690235334"/>
  </r>
  <r>
    <x v="7"/>
    <d v="2022-09-05T00:00:00"/>
    <d v="2022-09-23T00:00:00"/>
    <x v="12"/>
    <n v="9"/>
    <n v="13"/>
    <n v="7.7465319548675735"/>
    <n v="3.5148822427931381"/>
    <n v="45.693469156310798"/>
    <n v="100.70491541327846"/>
    <n v="-55.011446256967659"/>
    <n v="-3.0040154332676718"/>
    <n v="-58.015461690235334"/>
    <n v="0"/>
    <n v="0"/>
    <n v="0"/>
    <n v="-58.015461690235334"/>
  </r>
  <r>
    <x v="8"/>
    <d v="2022-10-05T00:00:00"/>
    <d v="2022-10-25T00:00:00"/>
    <x v="12"/>
    <n v="9"/>
    <n v="13"/>
    <n v="7.7465319548675735"/>
    <n v="3.5148822427931381"/>
    <n v="45.693469156310798"/>
    <n v="100.70491541327846"/>
    <n v="-55.011446256967659"/>
    <n v="-3.0040154332676718"/>
    <n v="-58.015461690235334"/>
    <n v="0"/>
    <n v="0"/>
    <n v="0"/>
    <n v="-58.015461690235334"/>
  </r>
  <r>
    <x v="9"/>
    <d v="2022-11-03T00:00:00"/>
    <d v="2022-11-23T00:00:00"/>
    <x v="12"/>
    <n v="9"/>
    <n v="10"/>
    <n v="7.7465319548675735"/>
    <n v="3.5148822427931381"/>
    <n v="35.148822427931378"/>
    <n v="77.465319548675737"/>
    <n v="-42.316497120744359"/>
    <n v="-2.310781102513594"/>
    <n v="-44.627278223257953"/>
    <n v="0"/>
    <n v="0"/>
    <n v="0"/>
    <n v="-44.627278223257953"/>
  </r>
  <r>
    <x v="10"/>
    <d v="2022-12-05T00:00:00"/>
    <d v="2022-12-23T00:00:00"/>
    <x v="12"/>
    <n v="9"/>
    <n v="9"/>
    <n v="7.7465319548675735"/>
    <n v="3.5148822427931381"/>
    <n v="31.633940185138243"/>
    <n v="69.718787593808159"/>
    <n v="-38.084847408669916"/>
    <n v="-2.0797029922622348"/>
    <n v="-40.16455040093215"/>
    <n v="0"/>
    <n v="0"/>
    <n v="0"/>
    <n v="-40.16455040093215"/>
  </r>
  <r>
    <x v="11"/>
    <d v="2023-01-04T00:00:00"/>
    <d v="2023-01-24T00:00:00"/>
    <x v="12"/>
    <n v="9"/>
    <n v="9"/>
    <n v="7.7465319548675735"/>
    <n v="3.5148822427931381"/>
    <n v="31.633940185138243"/>
    <n v="69.718787593808159"/>
    <n v="-38.084847408669916"/>
    <n v="-2.0797029922622348"/>
    <n v="-40.16455040093215"/>
    <n v="0"/>
    <n v="0"/>
    <n v="0"/>
    <n v="-40.16455040093215"/>
  </r>
  <r>
    <x v="0"/>
    <d v="2022-02-03T00:00:00"/>
    <d v="2022-02-23T00:00:00"/>
    <x v="13"/>
    <n v="9"/>
    <n v="22"/>
    <n v="7.7465319548675735"/>
    <n v="3.5148822427931381"/>
    <n v="77.327409341449041"/>
    <n v="170.42370300708663"/>
    <n v="-93.096293665637589"/>
    <n v="-5.0837184255299066"/>
    <n v="-98.180012091167498"/>
    <n v="0"/>
    <n v="0"/>
    <n v="0"/>
    <n v="-98.180012091167498"/>
  </r>
  <r>
    <x v="1"/>
    <d v="2022-03-03T00:00:00"/>
    <d v="2022-03-22T00:00:00"/>
    <x v="13"/>
    <n v="9"/>
    <n v="22"/>
    <n v="7.7465319548675735"/>
    <n v="3.5148822427931381"/>
    <n v="77.327409341449041"/>
    <n v="170.42370300708663"/>
    <n v="-93.096293665637589"/>
    <n v="-5.0837184255299066"/>
    <n v="-98.180012091167498"/>
    <n v="0"/>
    <n v="0"/>
    <n v="0"/>
    <n v="-98.180012091167498"/>
  </r>
  <r>
    <x v="2"/>
    <d v="2022-04-05T00:00:00"/>
    <d v="2022-04-25T00:00:00"/>
    <x v="13"/>
    <n v="9"/>
    <n v="18"/>
    <n v="7.7465319548675735"/>
    <n v="3.5148822427931381"/>
    <n v="63.267880370276487"/>
    <n v="139.43757518761632"/>
    <n v="-76.169694817339831"/>
    <n v="-4.1594059845244695"/>
    <n v="-80.3291008018643"/>
    <n v="0"/>
    <n v="0"/>
    <n v="0"/>
    <n v="-80.3291008018643"/>
  </r>
  <r>
    <x v="3"/>
    <d v="2022-05-04T00:00:00"/>
    <d v="2022-05-24T00:00:00"/>
    <x v="13"/>
    <n v="9"/>
    <n v="21"/>
    <n v="7.7465319548675735"/>
    <n v="3.5148822427931381"/>
    <n v="73.812527098655906"/>
    <n v="162.67717105221905"/>
    <n v="-88.864643953563146"/>
    <n v="-4.8526403152785473"/>
    <n v="-93.717284268841695"/>
    <n v="0"/>
    <n v="0"/>
    <n v="0"/>
    <n v="-93.717284268841695"/>
  </r>
  <r>
    <x v="4"/>
    <d v="2022-06-03T00:00:00"/>
    <d v="2022-06-23T00:00:00"/>
    <x v="13"/>
    <n v="9"/>
    <n v="31"/>
    <n v="7.7465319548675735"/>
    <n v="3.5148822427931381"/>
    <n v="108.96134952658728"/>
    <n v="240.14249060089477"/>
    <n v="-131.1811410743075"/>
    <n v="-7.1634214177921409"/>
    <n v="-138.34456249209964"/>
    <n v="0"/>
    <n v="0"/>
    <n v="0"/>
    <n v="-138.34456249209964"/>
  </r>
  <r>
    <x v="5"/>
    <d v="2022-07-05T00:00:00"/>
    <d v="2022-07-25T00:00:00"/>
    <x v="13"/>
    <n v="9"/>
    <n v="38"/>
    <n v="7.7465319548675735"/>
    <n v="3.5148822427931381"/>
    <n v="133.56552522613924"/>
    <n v="294.36821428496779"/>
    <n v="-160.80268905882855"/>
    <n v="-8.7809681895516576"/>
    <n v="-169.58365724838021"/>
    <n v="0"/>
    <n v="0"/>
    <n v="0"/>
    <n v="-169.58365724838021"/>
  </r>
  <r>
    <x v="6"/>
    <d v="2022-08-03T00:00:00"/>
    <d v="2022-08-23T00:00:00"/>
    <x v="13"/>
    <n v="9"/>
    <n v="40"/>
    <n v="7.7465319548675735"/>
    <n v="3.5148822427931381"/>
    <n v="140.59528971172551"/>
    <n v="309.86127819470295"/>
    <n v="-169.26598848297743"/>
    <n v="-9.2431244100543761"/>
    <n v="-178.50911289303181"/>
    <n v="0"/>
    <n v="0"/>
    <n v="0"/>
    <n v="-178.50911289303181"/>
  </r>
  <r>
    <x v="7"/>
    <d v="2022-09-05T00:00:00"/>
    <d v="2022-09-23T00:00:00"/>
    <x v="13"/>
    <n v="9"/>
    <n v="38"/>
    <n v="7.7465319548675735"/>
    <n v="3.5148822427931381"/>
    <n v="133.56552522613924"/>
    <n v="294.36821428496779"/>
    <n v="-160.80268905882855"/>
    <n v="-8.7809681895516576"/>
    <n v="-169.58365724838021"/>
    <n v="0"/>
    <n v="0"/>
    <n v="0"/>
    <n v="-169.58365724838021"/>
  </r>
  <r>
    <x v="8"/>
    <d v="2022-10-05T00:00:00"/>
    <d v="2022-10-25T00:00:00"/>
    <x v="13"/>
    <n v="9"/>
    <n v="35"/>
    <n v="7.7465319548675735"/>
    <n v="3.5148822427931381"/>
    <n v="123.02087849775984"/>
    <n v="271.12861842036506"/>
    <n v="-148.10773992260522"/>
    <n v="-8.0877338587975789"/>
    <n v="-156.1954737814028"/>
    <n v="0"/>
    <n v="0"/>
    <n v="0"/>
    <n v="-156.1954737814028"/>
  </r>
  <r>
    <x v="9"/>
    <d v="2022-11-03T00:00:00"/>
    <d v="2022-11-23T00:00:00"/>
    <x v="13"/>
    <n v="9"/>
    <n v="23"/>
    <n v="7.7465319548675735"/>
    <n v="3.5148822427931381"/>
    <n v="80.842291584242176"/>
    <n v="178.17023496195418"/>
    <n v="-97.327943377712003"/>
    <n v="-5.3147965357812659"/>
    <n v="-102.64273991349327"/>
    <n v="0"/>
    <n v="0"/>
    <n v="0"/>
    <n v="-102.64273991349327"/>
  </r>
  <r>
    <x v="10"/>
    <d v="2022-12-05T00:00:00"/>
    <d v="2022-12-23T00:00:00"/>
    <x v="13"/>
    <n v="9"/>
    <n v="18"/>
    <n v="7.7465319548675735"/>
    <n v="3.5148822427931381"/>
    <n v="63.267880370276487"/>
    <n v="139.43757518761632"/>
    <n v="-76.169694817339831"/>
    <n v="-4.1594059845244695"/>
    <n v="-80.3291008018643"/>
    <n v="0"/>
    <n v="0"/>
    <n v="0"/>
    <n v="-80.3291008018643"/>
  </r>
  <r>
    <x v="11"/>
    <d v="2023-01-04T00:00:00"/>
    <d v="2023-01-24T00:00:00"/>
    <x v="13"/>
    <n v="9"/>
    <n v="27"/>
    <n v="7.7465319548675735"/>
    <n v="3.5148822427931381"/>
    <n v="94.90182055541473"/>
    <n v="209.15636278142449"/>
    <n v="-114.25454222600976"/>
    <n v="-6.2391089767867038"/>
    <n v="-120.49365120279647"/>
    <n v="0"/>
    <n v="0"/>
    <n v="0"/>
    <n v="-120.49365120279647"/>
  </r>
  <r>
    <x v="0"/>
    <d v="2022-02-03T00:00:00"/>
    <d v="2022-02-23T00:00:00"/>
    <x v="14"/>
    <n v="9"/>
    <n v="37"/>
    <n v="7.7465319548675735"/>
    <n v="3.5148822427931381"/>
    <n v="130.05064298334611"/>
    <n v="286.62168233010021"/>
    <n v="-156.57103934675411"/>
    <n v="-8.5498900793002974"/>
    <n v="-165.1209294260544"/>
    <n v="0"/>
    <n v="0"/>
    <n v="0"/>
    <n v="-165.1209294260544"/>
  </r>
  <r>
    <x v="1"/>
    <d v="2022-03-03T00:00:00"/>
    <d v="2022-03-22T00:00:00"/>
    <x v="14"/>
    <n v="9"/>
    <n v="37"/>
    <n v="7.7465319548675735"/>
    <n v="3.5148822427931381"/>
    <n v="130.05064298334611"/>
    <n v="286.62168233010021"/>
    <n v="-156.57103934675411"/>
    <n v="-8.5498900793002974"/>
    <n v="-165.1209294260544"/>
    <n v="0"/>
    <n v="0"/>
    <n v="0"/>
    <n v="-165.1209294260544"/>
  </r>
  <r>
    <x v="2"/>
    <d v="2022-04-05T00:00:00"/>
    <d v="2022-04-25T00:00:00"/>
    <x v="14"/>
    <n v="9"/>
    <n v="25"/>
    <n v="7.7465319548675735"/>
    <n v="3.5148822427931381"/>
    <n v="87.872056069828446"/>
    <n v="193.66329887168934"/>
    <n v="-105.79124280186089"/>
    <n v="-5.7769527562839844"/>
    <n v="-111.56819555814488"/>
    <n v="0"/>
    <n v="0"/>
    <n v="0"/>
    <n v="-111.56819555814488"/>
  </r>
  <r>
    <x v="3"/>
    <d v="2022-05-04T00:00:00"/>
    <d v="2022-05-24T00:00:00"/>
    <x v="14"/>
    <n v="9"/>
    <n v="31"/>
    <n v="7.7465319548675735"/>
    <n v="3.5148822427931381"/>
    <n v="108.96134952658728"/>
    <n v="240.14249060089477"/>
    <n v="-131.1811410743075"/>
    <n v="-7.1634214177921409"/>
    <n v="-138.34456249209964"/>
    <n v="0"/>
    <n v="0"/>
    <n v="0"/>
    <n v="-138.34456249209964"/>
  </r>
  <r>
    <x v="4"/>
    <d v="2022-06-03T00:00:00"/>
    <d v="2022-06-23T00:00:00"/>
    <x v="14"/>
    <n v="9"/>
    <n v="40"/>
    <n v="7.7465319548675735"/>
    <n v="3.5148822427931381"/>
    <n v="140.59528971172551"/>
    <n v="309.86127819470295"/>
    <n v="-169.26598848297743"/>
    <n v="-9.2431244100543761"/>
    <n v="-178.50911289303181"/>
    <n v="0"/>
    <n v="0"/>
    <n v="0"/>
    <n v="-178.50911289303181"/>
  </r>
  <r>
    <x v="5"/>
    <d v="2022-07-05T00:00:00"/>
    <d v="2022-07-25T00:00:00"/>
    <x v="14"/>
    <n v="9"/>
    <n v="48"/>
    <n v="7.7465319548675735"/>
    <n v="3.5148822427931381"/>
    <n v="168.71434765407062"/>
    <n v="371.83353383364351"/>
    <n v="-203.11918617957289"/>
    <n v="-11.09174929206525"/>
    <n v="-214.21093547163815"/>
    <n v="0"/>
    <n v="0"/>
    <n v="0"/>
    <n v="-214.21093547163815"/>
  </r>
  <r>
    <x v="6"/>
    <d v="2022-08-03T00:00:00"/>
    <d v="2022-08-23T00:00:00"/>
    <x v="14"/>
    <n v="9"/>
    <n v="52"/>
    <n v="7.7465319548675735"/>
    <n v="3.5148822427931381"/>
    <n v="182.77387662524319"/>
    <n v="402.81966165311383"/>
    <n v="-220.04578502787064"/>
    <n v="-12.016061733070687"/>
    <n v="-232.06184676094134"/>
    <n v="0"/>
    <n v="0"/>
    <n v="0"/>
    <n v="-232.06184676094134"/>
  </r>
  <r>
    <x v="7"/>
    <d v="2022-09-05T00:00:00"/>
    <d v="2022-09-23T00:00:00"/>
    <x v="14"/>
    <n v="9"/>
    <n v="50"/>
    <n v="7.7465319548675735"/>
    <n v="3.5148822427931381"/>
    <n v="175.74411213965689"/>
    <n v="387.32659774337867"/>
    <n v="-211.58248560372178"/>
    <n v="-11.553905512567969"/>
    <n v="-223.13639111628976"/>
    <n v="0"/>
    <n v="0"/>
    <n v="0"/>
    <n v="-223.13639111628976"/>
  </r>
  <r>
    <x v="8"/>
    <d v="2022-10-05T00:00:00"/>
    <d v="2022-10-25T00:00:00"/>
    <x v="14"/>
    <n v="9"/>
    <n v="47"/>
    <n v="7.7465319548675735"/>
    <n v="3.5148822427931381"/>
    <n v="165.19946541127749"/>
    <n v="364.08700187877594"/>
    <n v="-198.88753646749845"/>
    <n v="-10.860671181813892"/>
    <n v="-209.74820764931235"/>
    <n v="0"/>
    <n v="0"/>
    <n v="0"/>
    <n v="-209.74820764931235"/>
  </r>
  <r>
    <x v="9"/>
    <d v="2022-11-03T00:00:00"/>
    <d v="2022-11-23T00:00:00"/>
    <x v="14"/>
    <n v="9"/>
    <n v="35"/>
    <n v="7.7465319548675735"/>
    <n v="3.5148822427931381"/>
    <n v="123.02087849775984"/>
    <n v="271.12861842036506"/>
    <n v="-148.10773992260522"/>
    <n v="-8.0877338587975789"/>
    <n v="-156.1954737814028"/>
    <n v="0"/>
    <n v="0"/>
    <n v="0"/>
    <n v="-156.1954737814028"/>
  </r>
  <r>
    <x v="10"/>
    <d v="2022-12-05T00:00:00"/>
    <d v="2022-12-23T00:00:00"/>
    <x v="14"/>
    <n v="9"/>
    <n v="34"/>
    <n v="7.7465319548675735"/>
    <n v="3.5148822427931381"/>
    <n v="119.50599625496669"/>
    <n v="263.38208646549748"/>
    <n v="-143.87609021053078"/>
    <n v="-7.8566557485462196"/>
    <n v="-151.73274595907699"/>
    <n v="0"/>
    <n v="0"/>
    <n v="0"/>
    <n v="-151.73274595907699"/>
  </r>
  <r>
    <x v="11"/>
    <d v="2023-01-04T00:00:00"/>
    <d v="2023-01-24T00:00:00"/>
    <x v="14"/>
    <n v="9"/>
    <n v="34"/>
    <n v="7.7465319548675735"/>
    <n v="3.5148822427931381"/>
    <n v="119.50599625496669"/>
    <n v="263.38208646549748"/>
    <n v="-143.87609021053078"/>
    <n v="-7.8566557485462196"/>
    <n v="-151.73274595907699"/>
    <n v="0"/>
    <n v="0"/>
    <n v="0"/>
    <n v="-151.73274595907699"/>
  </r>
  <r>
    <x v="0"/>
    <d v="2022-02-03T00:00:00"/>
    <d v="2022-02-23T00:00:00"/>
    <x v="15"/>
    <n v="9"/>
    <n v="106"/>
    <n v="7.7465319548675735"/>
    <n v="3.5148822427931381"/>
    <n v="372.57751773607265"/>
    <n v="821.13238721596281"/>
    <n v="-448.55486947989016"/>
    <n v="-24.494279686644095"/>
    <n v="-473.04914916653428"/>
    <n v="0"/>
    <n v="0"/>
    <n v="0"/>
    <n v="-473.04914916653428"/>
  </r>
  <r>
    <x v="1"/>
    <d v="2022-03-03T00:00:00"/>
    <d v="2022-03-22T00:00:00"/>
    <x v="15"/>
    <n v="9"/>
    <n v="101"/>
    <n v="7.7465319548675735"/>
    <n v="3.5148822427931381"/>
    <n v="355.00310652210698"/>
    <n v="782.39972744162492"/>
    <n v="-427.39662091951794"/>
    <n v="-23.338889135387298"/>
    <n v="-450.73551005490526"/>
    <n v="0"/>
    <n v="0"/>
    <n v="0"/>
    <n v="-450.73551005490526"/>
  </r>
  <r>
    <x v="2"/>
    <d v="2022-04-05T00:00:00"/>
    <d v="2022-04-25T00:00:00"/>
    <x v="15"/>
    <n v="9"/>
    <n v="97"/>
    <n v="7.7465319548675735"/>
    <n v="3.5148822427931381"/>
    <n v="340.94357755093438"/>
    <n v="751.41359962215461"/>
    <n v="-410.47002207122023"/>
    <n v="-22.414576694381861"/>
    <n v="-432.88459876560211"/>
    <n v="0"/>
    <n v="0"/>
    <n v="0"/>
    <n v="-432.88459876560211"/>
  </r>
  <r>
    <x v="3"/>
    <d v="2022-05-04T00:00:00"/>
    <d v="2022-05-24T00:00:00"/>
    <x v="15"/>
    <n v="9"/>
    <n v="98"/>
    <n v="7.7465319548675735"/>
    <n v="3.5148822427931381"/>
    <n v="344.45845979372751"/>
    <n v="759.16013157702218"/>
    <n v="-414.70167178329467"/>
    <n v="-22.645654804633221"/>
    <n v="-437.34732658792791"/>
    <n v="0"/>
    <n v="0"/>
    <n v="0"/>
    <n v="-437.34732658792791"/>
  </r>
  <r>
    <x v="4"/>
    <d v="2022-06-03T00:00:00"/>
    <d v="2022-06-23T00:00:00"/>
    <x v="15"/>
    <n v="9"/>
    <n v="104"/>
    <n v="7.7465319548675735"/>
    <n v="3.5148822427931381"/>
    <n v="365.54775325048638"/>
    <n v="805.63932330622765"/>
    <n v="-440.09157005574127"/>
    <n v="-24.032123466141375"/>
    <n v="-464.12369352188267"/>
    <n v="0"/>
    <n v="0"/>
    <n v="0"/>
    <n v="-464.12369352188267"/>
  </r>
  <r>
    <x v="5"/>
    <d v="2022-07-05T00:00:00"/>
    <d v="2022-07-25T00:00:00"/>
    <x v="15"/>
    <n v="9"/>
    <n v="115"/>
    <n v="7.7465319548675735"/>
    <n v="3.5148822427931381"/>
    <n v="404.21145792121087"/>
    <n v="890.85117480977101"/>
    <n v="-486.63971688856014"/>
    <n v="-26.573982678906333"/>
    <n v="-513.21369956746651"/>
    <n v="0"/>
    <n v="0"/>
    <n v="0"/>
    <n v="-513.21369956746651"/>
  </r>
  <r>
    <x v="6"/>
    <d v="2022-08-03T00:00:00"/>
    <d v="2022-08-23T00:00:00"/>
    <x v="15"/>
    <n v="9"/>
    <n v="42"/>
    <n v="7.7465319548675735"/>
    <n v="3.5148822427931381"/>
    <n v="147.62505419731181"/>
    <n v="325.3543421044381"/>
    <n v="-177.72928790712629"/>
    <n v="-9.7052806305570947"/>
    <n v="-187.43456853768339"/>
    <n v="0"/>
    <n v="0"/>
    <n v="0"/>
    <n v="-187.43456853768339"/>
  </r>
  <r>
    <x v="7"/>
    <d v="2022-09-05T00:00:00"/>
    <d v="2022-09-23T00:00:00"/>
    <x v="15"/>
    <n v="9"/>
    <n v="41"/>
    <n v="7.7465319548675735"/>
    <n v="3.5148822427931381"/>
    <n v="144.11017195451865"/>
    <n v="317.60781014957053"/>
    <n v="-173.49763819505188"/>
    <n v="-9.4742025203057345"/>
    <n v="-182.97184071535762"/>
    <n v="0"/>
    <n v="0"/>
    <n v="0"/>
    <n v="-182.97184071535762"/>
  </r>
  <r>
    <x v="8"/>
    <d v="2022-10-05T00:00:00"/>
    <d v="2022-10-25T00:00:00"/>
    <x v="15"/>
    <n v="9"/>
    <n v="115"/>
    <n v="7.7465319548675735"/>
    <n v="3.5148822427931381"/>
    <n v="404.21145792121087"/>
    <n v="890.85117480977101"/>
    <n v="-486.63971688856014"/>
    <n v="-26.573982678906333"/>
    <n v="-513.21369956746651"/>
    <n v="0"/>
    <n v="0"/>
    <n v="0"/>
    <n v="-513.21369956746651"/>
  </r>
  <r>
    <x v="9"/>
    <d v="2022-11-03T00:00:00"/>
    <d v="2022-11-23T00:00:00"/>
    <x v="15"/>
    <n v="9"/>
    <n v="105"/>
    <n v="7.7465319548675735"/>
    <n v="3.5148822427931381"/>
    <n v="369.06263549327952"/>
    <n v="813.38585526109523"/>
    <n v="-444.32321976781571"/>
    <n v="-24.263201576392738"/>
    <n v="-468.58642134420847"/>
    <n v="0"/>
    <n v="0"/>
    <n v="0"/>
    <n v="-468.58642134420847"/>
  </r>
  <r>
    <x v="10"/>
    <d v="2022-12-05T00:00:00"/>
    <d v="2022-12-23T00:00:00"/>
    <x v="15"/>
    <n v="9"/>
    <n v="104"/>
    <n v="7.7465319548675735"/>
    <n v="3.5148822427931381"/>
    <n v="365.54775325048638"/>
    <n v="805.63932330622765"/>
    <n v="-440.09157005574127"/>
    <n v="-24.032123466141375"/>
    <n v="-464.12369352188267"/>
    <n v="0"/>
    <n v="0"/>
    <n v="0"/>
    <n v="-464.12369352188267"/>
  </r>
  <r>
    <x v="11"/>
    <d v="2023-01-04T00:00:00"/>
    <d v="2023-01-24T00:00:00"/>
    <x v="15"/>
    <n v="9"/>
    <n v="104"/>
    <n v="7.7465319548675735"/>
    <n v="3.5148822427931381"/>
    <n v="365.54775325048638"/>
    <n v="805.63932330622765"/>
    <n v="-440.09157005574127"/>
    <n v="-24.032123466141375"/>
    <n v="-464.12369352188267"/>
    <n v="0"/>
    <n v="0"/>
    <n v="0"/>
    <n v="-464.123693521882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57">
        <item m="1" x="57"/>
        <item m="1" x="81"/>
        <item m="1" x="105"/>
        <item m="1" x="129"/>
        <item m="1" x="153"/>
        <item m="1" x="33"/>
        <item m="1" x="68"/>
        <item m="1" x="92"/>
        <item m="1" x="116"/>
        <item m="1" x="140"/>
        <item m="1" x="20"/>
        <item m="1" x="44"/>
        <item m="1" x="58"/>
        <item m="1" x="82"/>
        <item m="1" x="106"/>
        <item m="1" x="130"/>
        <item m="1" x="154"/>
        <item m="1" x="34"/>
        <item m="1" x="70"/>
        <item m="1" x="94"/>
        <item m="1" x="118"/>
        <item m="1" x="142"/>
        <item m="1" x="22"/>
        <item m="1" x="46"/>
        <item m="1" x="59"/>
        <item m="1" x="83"/>
        <item m="1" x="107"/>
        <item m="1" x="131"/>
        <item m="1" x="155"/>
        <item m="1" x="35"/>
        <item m="1" x="71"/>
        <item m="1" x="95"/>
        <item m="1" x="119"/>
        <item m="1" x="143"/>
        <item m="1" x="23"/>
        <item m="1" x="47"/>
        <item m="1" x="60"/>
        <item m="1" x="84"/>
        <item m="1" x="108"/>
        <item m="1" x="132"/>
        <item m="1" x="12"/>
        <item m="1" x="36"/>
        <item m="1" x="72"/>
        <item m="1" x="96"/>
        <item m="1" x="120"/>
        <item m="1" x="144"/>
        <item m="1" x="24"/>
        <item m="1" x="48"/>
        <item m="1" x="61"/>
        <item m="1" x="85"/>
        <item m="1" x="109"/>
        <item m="1" x="133"/>
        <item m="1" x="13"/>
        <item m="1" x="37"/>
        <item m="1" x="73"/>
        <item m="1" x="97"/>
        <item m="1" x="121"/>
        <item m="1" x="145"/>
        <item m="1" x="25"/>
        <item m="1" x="49"/>
        <item m="1" x="62"/>
        <item m="1" x="86"/>
        <item m="1" x="110"/>
        <item m="1" x="134"/>
        <item m="1" x="14"/>
        <item m="1" x="38"/>
        <item m="1" x="74"/>
        <item m="1" x="98"/>
        <item m="1" x="122"/>
        <item m="1" x="146"/>
        <item m="1" x="26"/>
        <item m="1" x="50"/>
        <item m="1" x="63"/>
        <item m="1" x="87"/>
        <item m="1" x="111"/>
        <item m="1" x="135"/>
        <item m="1" x="15"/>
        <item m="1" x="39"/>
        <item m="1" x="75"/>
        <item m="1" x="99"/>
        <item m="1" x="123"/>
        <item m="1" x="147"/>
        <item m="1" x="27"/>
        <item m="1" x="51"/>
        <item m="1" x="64"/>
        <item m="1" x="88"/>
        <item m="1" x="112"/>
        <item m="1" x="136"/>
        <item m="1" x="16"/>
        <item m="1" x="40"/>
        <item m="1" x="76"/>
        <item m="1" x="100"/>
        <item m="1" x="124"/>
        <item m="1" x="148"/>
        <item m="1" x="28"/>
        <item m="1" x="52"/>
        <item m="1" x="65"/>
        <item m="1" x="89"/>
        <item m="1" x="113"/>
        <item m="1" x="137"/>
        <item m="1" x="17"/>
        <item m="1" x="41"/>
        <item m="1" x="77"/>
        <item m="1" x="101"/>
        <item m="1" x="125"/>
        <item m="1" x="149"/>
        <item m="1" x="29"/>
        <item m="1" x="53"/>
        <item m="1" x="66"/>
        <item m="1" x="90"/>
        <item m="1" x="114"/>
        <item m="1" x="138"/>
        <item m="1" x="18"/>
        <item m="1" x="42"/>
        <item m="1" x="78"/>
        <item m="1" x="102"/>
        <item m="1" x="126"/>
        <item m="1" x="150"/>
        <item m="1" x="30"/>
        <item m="1" x="54"/>
        <item m="1" x="67"/>
        <item m="1" x="91"/>
        <item m="1" x="115"/>
        <item m="1" x="139"/>
        <item m="1" x="19"/>
        <item m="1" x="43"/>
        <item m="1" x="79"/>
        <item m="1" x="103"/>
        <item m="1" x="127"/>
        <item m="1" x="151"/>
        <item m="1" x="31"/>
        <item m="1" x="55"/>
        <item m="1" x="69"/>
        <item m="1" x="93"/>
        <item m="1" x="117"/>
        <item m="1" x="141"/>
        <item m="1" x="21"/>
        <item m="1" x="45"/>
        <item m="1" x="80"/>
        <item m="1" x="104"/>
        <item m="1" x="128"/>
        <item m="1" x="152"/>
        <item m="1" x="32"/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R18" sqref="A1:R18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62</v>
      </c>
    </row>
    <row r="3" spans="1:2" x14ac:dyDescent="0.2">
      <c r="A3" s="2">
        <v>1</v>
      </c>
      <c r="B3" s="3" t="s">
        <v>64</v>
      </c>
    </row>
    <row r="4" spans="1:2" x14ac:dyDescent="0.2">
      <c r="A4" s="2">
        <v>2</v>
      </c>
      <c r="B4" s="3" t="s">
        <v>63</v>
      </c>
    </row>
    <row r="5" spans="1:2" x14ac:dyDescent="0.2">
      <c r="A5" s="2">
        <v>3</v>
      </c>
      <c r="B5" s="3" t="s">
        <v>65</v>
      </c>
    </row>
    <row r="6" spans="1:2" x14ac:dyDescent="0.2">
      <c r="A6" s="2">
        <v>4</v>
      </c>
      <c r="B6" s="4" t="s">
        <v>79</v>
      </c>
    </row>
    <row r="7" spans="1:2" x14ac:dyDescent="0.2">
      <c r="A7" s="2">
        <v>5</v>
      </c>
      <c r="B7" s="3" t="s">
        <v>66</v>
      </c>
    </row>
    <row r="8" spans="1:2" x14ac:dyDescent="0.2">
      <c r="A8" s="2">
        <v>6</v>
      </c>
      <c r="B8" s="3" t="s">
        <v>67</v>
      </c>
    </row>
    <row r="9" spans="1:2" x14ac:dyDescent="0.2">
      <c r="A9" s="2">
        <v>7</v>
      </c>
      <c r="B9" s="5" t="s">
        <v>68</v>
      </c>
    </row>
    <row r="10" spans="1:2" x14ac:dyDescent="0.2">
      <c r="A10" s="2">
        <v>8</v>
      </c>
      <c r="B10" s="3" t="s">
        <v>71</v>
      </c>
    </row>
    <row r="11" spans="1:2" x14ac:dyDescent="0.2">
      <c r="A11" s="2"/>
      <c r="B11" s="3" t="s">
        <v>72</v>
      </c>
    </row>
    <row r="12" spans="1:2" x14ac:dyDescent="0.2">
      <c r="A12" s="2"/>
      <c r="B12" s="5" t="s">
        <v>73</v>
      </c>
    </row>
    <row r="13" spans="1:2" x14ac:dyDescent="0.2">
      <c r="A13" s="2"/>
      <c r="B13" s="5" t="s">
        <v>74</v>
      </c>
    </row>
    <row r="14" spans="1:2" x14ac:dyDescent="0.2">
      <c r="A14" s="2">
        <v>9</v>
      </c>
      <c r="B14" s="3" t="s">
        <v>75</v>
      </c>
    </row>
    <row r="15" spans="1:2" x14ac:dyDescent="0.2">
      <c r="A15" s="2">
        <v>10</v>
      </c>
      <c r="B15" s="3" t="s">
        <v>77</v>
      </c>
    </row>
    <row r="16" spans="1:2" x14ac:dyDescent="0.2">
      <c r="A16" s="2">
        <v>11</v>
      </c>
      <c r="B16" s="3" t="s">
        <v>78</v>
      </c>
    </row>
    <row r="17" spans="1:1" x14ac:dyDescent="0.2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5"/>
  <sheetViews>
    <sheetView zoomScale="85" zoomScaleNormal="85" zoomScaleSheetLayoutView="100" workbookViewId="0">
      <selection activeCell="E23" sqref="E23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0" t="str">
        <f>+Transactions!B1</f>
        <v>AEPTCo Formula Rate -- FERC Docket ER18-195</v>
      </c>
      <c r="D1" s="250"/>
      <c r="E1" s="250"/>
      <c r="F1" s="250"/>
      <c r="G1" s="250"/>
      <c r="H1" s="250"/>
      <c r="I1" s="250"/>
      <c r="L1" s="6">
        <v>2022</v>
      </c>
    </row>
    <row r="2" spans="2:19" x14ac:dyDescent="0.2">
      <c r="C2" s="250" t="s">
        <v>97</v>
      </c>
      <c r="D2" s="250"/>
      <c r="E2" s="250"/>
      <c r="F2" s="250"/>
      <c r="G2" s="250"/>
      <c r="H2" s="250"/>
      <c r="I2" s="250"/>
    </row>
    <row r="3" spans="2:19" x14ac:dyDescent="0.2">
      <c r="C3" s="250" t="str">
        <f>"for period 01/01/"&amp;F8&amp;" - 12/31/"&amp;F8</f>
        <v>for period 01/01/2022 - 12/31/2022</v>
      </c>
      <c r="D3" s="250"/>
      <c r="E3" s="250"/>
      <c r="F3" s="250"/>
      <c r="G3" s="250"/>
      <c r="H3" s="250"/>
      <c r="I3" s="250"/>
    </row>
    <row r="4" spans="2:19" x14ac:dyDescent="0.2">
      <c r="C4" s="250" t="s">
        <v>93</v>
      </c>
      <c r="D4" s="250"/>
      <c r="E4" s="250"/>
      <c r="F4" s="250"/>
      <c r="G4" s="250"/>
      <c r="H4" s="250"/>
      <c r="I4" s="250"/>
    </row>
    <row r="5" spans="2:19" x14ac:dyDescent="0.2">
      <c r="C5" s="7" t="str">
        <f>"Prepared:  May 24_, "&amp;L1+1&amp;""</f>
        <v>Prepared:  May 24_, 2023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v>2022</v>
      </c>
    </row>
    <row r="9" spans="2:19" ht="20.25" customHeight="1" x14ac:dyDescent="0.2">
      <c r="E9" s="12" t="s">
        <v>92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2022 Projections 2022)</v>
      </c>
      <c r="F10" s="18" t="str">
        <f>"(per "&amp;F8&amp;" Update of May "&amp;F8+1&amp;")"</f>
        <v>(per 2022 Update of May 2023)</v>
      </c>
      <c r="G10" s="19"/>
      <c r="H10" s="20"/>
    </row>
    <row r="11" spans="2:19" ht="21.75" customHeight="1" x14ac:dyDescent="0.2">
      <c r="B11" s="21"/>
      <c r="C11" s="22" t="s">
        <v>38</v>
      </c>
      <c r="D11" s="23" t="s">
        <v>36</v>
      </c>
      <c r="E11" s="24">
        <f>Transactions!K2</f>
        <v>757889.70033642394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41</v>
      </c>
      <c r="E12" s="30"/>
      <c r="F12" s="31">
        <f>+Transactions!J2</f>
        <v>367916.78388212895</v>
      </c>
      <c r="G12" s="32"/>
      <c r="H12" s="33"/>
      <c r="K12" s="34"/>
    </row>
    <row r="13" spans="2:19" ht="21.75" customHeight="1" x14ac:dyDescent="0.2">
      <c r="B13" s="35"/>
      <c r="C13" s="36" t="s">
        <v>39</v>
      </c>
      <c r="D13" s="37" t="s">
        <v>37</v>
      </c>
      <c r="E13" s="38">
        <f>Transactions!K3</f>
        <v>7.7465319548675735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40</v>
      </c>
      <c r="E14" s="44"/>
      <c r="F14" s="45">
        <f>+Transactions!J3</f>
        <v>3.5148822427931381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91</v>
      </c>
      <c r="I19" s="56" t="s">
        <v>90</v>
      </c>
      <c r="J19" s="57" t="s">
        <v>94</v>
      </c>
      <c r="K19" s="58" t="s">
        <v>95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49</v>
      </c>
      <c r="D20" s="60" t="str">
        <f>"Actual Charge
("&amp;F8&amp;" True-Up)"</f>
        <v>Actual Charge
(2022 True-Up)</v>
      </c>
      <c r="E20" s="61" t="str">
        <f>"Invoiced for
CY"&amp;F8&amp;" Transmission Service"</f>
        <v>Invoiced for
CY2022 Transmission Service</v>
      </c>
      <c r="F20" s="60" t="s">
        <v>100</v>
      </c>
      <c r="G20" s="62" t="s">
        <v>101</v>
      </c>
      <c r="H20" s="62" t="s">
        <v>102</v>
      </c>
      <c r="I20" s="60" t="s">
        <v>103</v>
      </c>
      <c r="J20" s="63" t="s">
        <v>104</v>
      </c>
      <c r="K20" s="64" t="s">
        <v>99</v>
      </c>
      <c r="N20" s="52"/>
      <c r="O20" s="53"/>
      <c r="P20" s="53"/>
      <c r="Q20" s="53"/>
      <c r="R20" s="53"/>
      <c r="S20" s="53"/>
    </row>
    <row r="21" spans="2:19" x14ac:dyDescent="0.2">
      <c r="B21" s="65"/>
      <c r="C21" s="66" t="s">
        <v>14</v>
      </c>
      <c r="D21" s="67">
        <f>GETPIVOTDATA("Sum of "&amp;T(Transactions!$J$19),Pivot!$A$3,"Customer",C21)</f>
        <v>34885.20625972189</v>
      </c>
      <c r="E21" s="67">
        <f>GETPIVOTDATA("Sum of "&amp;T(Transactions!$K$19),Pivot!$A$3,"Customer",C21)</f>
        <v>76884.329652060682</v>
      </c>
      <c r="F21" s="67">
        <f>D21-E21</f>
        <v>-41999.123392338792</v>
      </c>
      <c r="G21" s="53">
        <f>+GETPIVOTDATA("Sum of "&amp;T(Transactions!$M$19),Pivot!$A$3,"Customer","AECC")</f>
        <v>-2293.450244244742</v>
      </c>
      <c r="H21" s="53">
        <f>GETPIVOTDATA("Sum of "&amp;T(Transactions!$Q$19),Pivot!$A$3,"Customer","AECC")</f>
        <v>0</v>
      </c>
      <c r="I21" s="68">
        <f>F21+G21-H21</f>
        <v>-44292.573636583533</v>
      </c>
      <c r="J21" s="69">
        <v>0</v>
      </c>
      <c r="K21" s="70">
        <f>I21+J21</f>
        <v>-44292.573636583533</v>
      </c>
      <c r="L21" s="65"/>
      <c r="N21" s="52"/>
      <c r="O21" s="53"/>
      <c r="P21" s="53"/>
      <c r="Q21" s="53"/>
      <c r="R21" s="53"/>
      <c r="S21" s="53"/>
    </row>
    <row r="22" spans="2:19" x14ac:dyDescent="0.2">
      <c r="B22" s="65"/>
      <c r="C22" s="71" t="s">
        <v>82</v>
      </c>
      <c r="D22" s="67">
        <f>GETPIVOTDATA("Sum of "&amp;T(Transactions!$J$19),Pivot!$A$3,"Customer",C22)</f>
        <v>1915.61082232226</v>
      </c>
      <c r="E22" s="67">
        <f>GETPIVOTDATA("Sum of "&amp;T(Transactions!$K$19),Pivot!$A$3,"Customer",C22)</f>
        <v>4221.859915402827</v>
      </c>
      <c r="F22" s="67">
        <f>D22-E22</f>
        <v>-2306.249093080567</v>
      </c>
      <c r="G22" s="53">
        <f>+GETPIVOTDATA("Sum of "&amp;T(Transactions!$M$19),Pivot!$A$3,"Customer","AECI")</f>
        <v>-125.93757008699086</v>
      </c>
      <c r="H22" s="53">
        <f>GETPIVOTDATA("Sum of "&amp;T(Transactions!$Q$19),Pivot!$A$3,"Customer",C22)</f>
        <v>0</v>
      </c>
      <c r="I22" s="68">
        <f t="shared" ref="I22:I33" si="0">F22+G22-H22</f>
        <v>-2432.186663167558</v>
      </c>
      <c r="J22" s="69">
        <v>0</v>
      </c>
      <c r="K22" s="70">
        <f t="shared" ref="K22:K39" si="1">I22+J22</f>
        <v>-2432.186663167558</v>
      </c>
      <c r="L22" s="65"/>
      <c r="N22" s="52"/>
      <c r="O22" s="53"/>
      <c r="P22" s="53"/>
      <c r="Q22" s="53"/>
      <c r="R22" s="53"/>
      <c r="S22" s="53"/>
    </row>
    <row r="23" spans="2:19" x14ac:dyDescent="0.2">
      <c r="B23" s="65"/>
      <c r="C23" s="71" t="s">
        <v>53</v>
      </c>
      <c r="D23" s="67">
        <f>GETPIVOTDATA("Sum of "&amp;T(Transactions!$J$19),Pivot!$A$3,"Customer",C23)</f>
        <v>5430.4930651153982</v>
      </c>
      <c r="E23" s="67">
        <f>GETPIVOTDATA("Sum of "&amp;T(Transactions!$K$19),Pivot!$A$3,"Customer",C23)</f>
        <v>11968.391870270403</v>
      </c>
      <c r="F23" s="67">
        <f t="shared" ref="F23:F35" si="2">D23-E23</f>
        <v>-6537.898805155005</v>
      </c>
      <c r="G23" s="53">
        <f>+GETPIVOTDATA("Sum of "&amp;T(Transactions!$M$19),Pivot!$A$3,"Customer","Bentonville, AR")</f>
        <v>-357.01568033835031</v>
      </c>
      <c r="H23" s="53">
        <f>GETPIVOTDATA("Sum of "&amp;T(Transactions!$Q$19),Pivot!$A$3,"Customer",C23)</f>
        <v>0</v>
      </c>
      <c r="I23" s="68">
        <f t="shared" si="0"/>
        <v>-6894.9144854933556</v>
      </c>
      <c r="J23" s="69">
        <v>0</v>
      </c>
      <c r="K23" s="70">
        <f t="shared" si="1"/>
        <v>-6894.9144854933556</v>
      </c>
      <c r="L23" s="65"/>
      <c r="N23" s="52"/>
      <c r="O23" s="53"/>
      <c r="P23" s="53"/>
      <c r="Q23" s="53"/>
      <c r="R23" s="53"/>
      <c r="S23" s="53"/>
    </row>
    <row r="24" spans="2:19" x14ac:dyDescent="0.2">
      <c r="B24" s="65"/>
      <c r="C24" s="66" t="s">
        <v>17</v>
      </c>
      <c r="D24" s="67">
        <f>GETPIVOTDATA("Sum of "&amp;T(Transactions!$J$19),Pivot!$A$3,"Customer",C24)</f>
        <v>3978.8466988418322</v>
      </c>
      <c r="E24" s="67">
        <f>GETPIVOTDATA("Sum of "&amp;T(Transactions!$K$19),Pivot!$A$3,"Customer",C24)</f>
        <v>8769.0741729100937</v>
      </c>
      <c r="F24" s="67">
        <f t="shared" si="2"/>
        <v>-4790.2274740682615</v>
      </c>
      <c r="G24" s="53">
        <f>+GETPIVOTDATA("Sum of "&amp;T(Transactions!$M$19),Pivot!$A$3,"Customer","Coffeyville, KS")</f>
        <v>-261.58042080453885</v>
      </c>
      <c r="H24" s="53">
        <f>GETPIVOTDATA("Sum of "&amp;T(Transactions!$Q$19),Pivot!$A$3,"Customer",C24)</f>
        <v>0</v>
      </c>
      <c r="I24" s="68">
        <f t="shared" si="0"/>
        <v>-5051.8078948728007</v>
      </c>
      <c r="J24" s="69">
        <v>0</v>
      </c>
      <c r="K24" s="70">
        <f t="shared" si="1"/>
        <v>-5051.8078948728007</v>
      </c>
      <c r="L24" s="65"/>
      <c r="N24" s="52"/>
      <c r="O24" s="53"/>
      <c r="P24" s="53"/>
      <c r="Q24" s="53"/>
      <c r="R24" s="53"/>
      <c r="S24" s="53"/>
    </row>
    <row r="25" spans="2:19" x14ac:dyDescent="0.2">
      <c r="B25" s="65"/>
      <c r="C25" s="71" t="s">
        <v>13</v>
      </c>
      <c r="D25" s="67">
        <f>GETPIVOTDATA("Sum of "&amp;T(Transactions!$J$19),Pivot!$A$3,"Customer",C25)</f>
        <v>38748.061844551557</v>
      </c>
      <c r="E25" s="67">
        <f>GETPIVOTDATA("Sum of "&amp;T(Transactions!$K$19),Pivot!$A$3,"Customer",C25)</f>
        <v>85397.768270460132</v>
      </c>
      <c r="F25" s="67">
        <f t="shared" si="2"/>
        <v>-46649.706425908575</v>
      </c>
      <c r="G25" s="53">
        <f>+GETPIVOTDATA("Sum of "&amp;T(Transactions!$M$19),Pivot!$A$3,"Customer","ETEC")</f>
        <v>-2547.4050874109857</v>
      </c>
      <c r="H25" s="53">
        <f>GETPIVOTDATA("Sum of "&amp;T(Transactions!$Q$19),Pivot!$A$3,"Customer",C25)</f>
        <v>0</v>
      </c>
      <c r="I25" s="68">
        <f t="shared" si="0"/>
        <v>-49197.111513319564</v>
      </c>
      <c r="J25" s="69">
        <v>0</v>
      </c>
      <c r="K25" s="70">
        <f t="shared" si="1"/>
        <v>-49197.111513319564</v>
      </c>
      <c r="L25" s="65"/>
      <c r="N25" s="54"/>
      <c r="O25" s="53"/>
      <c r="P25" s="53"/>
      <c r="Q25" s="53"/>
      <c r="R25" s="53"/>
      <c r="S25" s="53"/>
    </row>
    <row r="26" spans="2:19" x14ac:dyDescent="0.2">
      <c r="B26" s="65"/>
      <c r="C26" s="66" t="s">
        <v>15</v>
      </c>
      <c r="D26" s="67">
        <f>GETPIVOTDATA("Sum of "&amp;T(Transactions!$J$19),Pivot!$A$3,"Customer",C26)</f>
        <v>400.69657567841773</v>
      </c>
      <c r="E26" s="67">
        <f>GETPIVOTDATA("Sum of "&amp;T(Transactions!$K$19),Pivot!$A$3,"Customer",C26)</f>
        <v>883.10464285490343</v>
      </c>
      <c r="F26" s="67">
        <f t="shared" si="2"/>
        <v>-482.4080671764857</v>
      </c>
      <c r="G26" s="53">
        <f>+GETPIVOTDATA("Sum of "&amp;T(Transactions!$M$19),Pivot!$A$3,"Customer","Greenbelt")</f>
        <v>-26.342904568654973</v>
      </c>
      <c r="H26" s="53">
        <f>GETPIVOTDATA("Sum of "&amp;T(Transactions!$Q$19),Pivot!$A$3,"Customer",C26)</f>
        <v>0</v>
      </c>
      <c r="I26" s="68">
        <f t="shared" si="0"/>
        <v>-508.75097174514065</v>
      </c>
      <c r="J26" s="69">
        <v>0</v>
      </c>
      <c r="K26" s="70">
        <f t="shared" si="1"/>
        <v>-508.75097174514065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">
      <c r="B27" s="65"/>
      <c r="C27" s="66" t="s">
        <v>56</v>
      </c>
      <c r="D27" s="67">
        <f>GETPIVOTDATA("Sum of "&amp;T(Transactions!$J$19),Pivot!$A$3,"Customer",C27)</f>
        <v>1651.9946541127749</v>
      </c>
      <c r="E27" s="67">
        <f>GETPIVOTDATA("Sum of "&amp;T(Transactions!$K$19),Pivot!$A$3,"Customer",C27)</f>
        <v>3640.8700187877594</v>
      </c>
      <c r="F27" s="67">
        <f t="shared" si="2"/>
        <v>-1988.8753646749844</v>
      </c>
      <c r="G27" s="53">
        <f>+GETPIVOTDATA("Sum of "&amp;T(Transactions!$M$19),Pivot!$A$3,"Customer","Hope, AR")</f>
        <v>-108.6067118181389</v>
      </c>
      <c r="H27" s="53">
        <f>GETPIVOTDATA("Sum of "&amp;T(Transactions!$Q$19),Pivot!$A$3,"Customer",C27)</f>
        <v>0</v>
      </c>
      <c r="I27" s="68">
        <f t="shared" si="0"/>
        <v>-2097.4820764931233</v>
      </c>
      <c r="J27" s="69">
        <v>0</v>
      </c>
      <c r="K27" s="70">
        <f t="shared" si="1"/>
        <v>-2097.4820764931233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">
      <c r="B28" s="65"/>
      <c r="C28" s="66" t="s">
        <v>16</v>
      </c>
      <c r="D28" s="67">
        <f>GETPIVOTDATA("Sum of "&amp;T(Transactions!$J$19),Pivot!$A$3,"Customer",C28)</f>
        <v>140.59528971172551</v>
      </c>
      <c r="E28" s="67">
        <f>GETPIVOTDATA("Sum of "&amp;T(Transactions!$K$19),Pivot!$A$3,"Customer",C28)</f>
        <v>309.86127819470295</v>
      </c>
      <c r="F28" s="67">
        <f t="shared" si="2"/>
        <v>-169.26598848297743</v>
      </c>
      <c r="G28" s="53">
        <f>+GETPIVOTDATA("Sum of "&amp;T(Transactions!$M$19),Pivot!$A$3,"Customer","Lighthouse")</f>
        <v>-9.2431244100543761</v>
      </c>
      <c r="H28" s="53">
        <f>GETPIVOTDATA("Sum of "&amp;T(Transactions!$Q$19),Pivot!$A$3,"Customer",C28)</f>
        <v>0</v>
      </c>
      <c r="I28" s="68">
        <f t="shared" si="0"/>
        <v>-178.50911289303181</v>
      </c>
      <c r="J28" s="69">
        <v>0</v>
      </c>
      <c r="K28" s="70">
        <f t="shared" si="1"/>
        <v>-178.50911289303181</v>
      </c>
      <c r="L28" s="65"/>
      <c r="N28" s="52"/>
      <c r="O28" s="53"/>
      <c r="P28" s="53"/>
      <c r="Q28" s="53"/>
      <c r="R28" s="53"/>
      <c r="S28" s="53"/>
    </row>
    <row r="29" spans="2:19" x14ac:dyDescent="0.2">
      <c r="B29" s="65"/>
      <c r="C29" s="71" t="s">
        <v>55</v>
      </c>
      <c r="D29" s="67">
        <f>GETPIVOTDATA("Sum of "&amp;T(Transactions!$J$19),Pivot!$A$3,"Customer",C29)</f>
        <v>1170.4557868501149</v>
      </c>
      <c r="E29" s="67">
        <f>GETPIVOTDATA("Sum of "&amp;T(Transactions!$K$19),Pivot!$A$3,"Customer",C29)</f>
        <v>2579.5951409709019</v>
      </c>
      <c r="F29" s="67">
        <f t="shared" si="2"/>
        <v>-1409.1393541207869</v>
      </c>
      <c r="G29" s="53">
        <f>+GETPIVOTDATA("Sum of "&amp;T(Transactions!$M$19),Pivot!$A$3,"Customer","Minden, LA")</f>
        <v>-76.949010713702691</v>
      </c>
      <c r="H29" s="53">
        <f>GETPIVOTDATA("Sum of "&amp;T(Transactions!$Q$19),Pivot!$A$3,"Customer",C29)</f>
        <v>0</v>
      </c>
      <c r="I29" s="68">
        <f t="shared" si="0"/>
        <v>-1486.0883648344895</v>
      </c>
      <c r="J29" s="69">
        <v>0</v>
      </c>
      <c r="K29" s="70">
        <f t="shared" si="1"/>
        <v>-1486.0883648344895</v>
      </c>
      <c r="L29" s="65"/>
      <c r="N29" s="52"/>
      <c r="O29" s="53"/>
      <c r="P29" s="53"/>
      <c r="Q29" s="53"/>
      <c r="R29" s="53"/>
      <c r="S29" s="53"/>
    </row>
    <row r="30" spans="2:19" x14ac:dyDescent="0.2">
      <c r="B30" s="65"/>
      <c r="C30" s="71" t="s">
        <v>19</v>
      </c>
      <c r="D30" s="67">
        <f>GETPIVOTDATA("Sum of "&amp;T(Transactions!$J$19),Pivot!$A$3,"Customer",C30)</f>
        <v>2235.4651064164359</v>
      </c>
      <c r="E30" s="67">
        <f>GETPIVOTDATA("Sum of "&amp;T(Transactions!$K$19),Pivot!$A$3,"Customer",C30)</f>
        <v>4926.7943232957759</v>
      </c>
      <c r="F30" s="67">
        <f t="shared" si="2"/>
        <v>-2691.32921687934</v>
      </c>
      <c r="G30" s="53">
        <f>+GETPIVOTDATA("Sum of "&amp;T(Transactions!$M$19),Pivot!$A$3,"Customer","OG&amp;E")</f>
        <v>-146.96567811986455</v>
      </c>
      <c r="H30" s="53">
        <f>GETPIVOTDATA("Sum of "&amp;T(Transactions!$Q$19),Pivot!$A$3,"Customer",C30)</f>
        <v>0</v>
      </c>
      <c r="I30" s="68">
        <f t="shared" si="0"/>
        <v>-2838.2948949992046</v>
      </c>
      <c r="J30" s="69">
        <v>0</v>
      </c>
      <c r="K30" s="70">
        <f t="shared" si="1"/>
        <v>-2838.2948949992046</v>
      </c>
      <c r="L30" s="65"/>
    </row>
    <row r="31" spans="2:19" x14ac:dyDescent="0.2">
      <c r="B31" s="65"/>
      <c r="C31" s="66" t="s">
        <v>8</v>
      </c>
      <c r="D31" s="67">
        <f>GETPIVOTDATA("Sum of "&amp;T(Transactions!$J$19),Pivot!$A$3,"Customer",C31)</f>
        <v>4593.9510913306312</v>
      </c>
      <c r="E31" s="67">
        <f>GETPIVOTDATA("Sum of "&amp;T(Transactions!$K$19),Pivot!$A$3,"Customer",C31)</f>
        <v>10124.717265011919</v>
      </c>
      <c r="F31" s="67">
        <f t="shared" si="2"/>
        <v>-5530.7661736812879</v>
      </c>
      <c r="G31" s="53">
        <f>+GETPIVOTDATA("Sum of "&amp;T(Transactions!$M$19),Pivot!$A$3,"Customer","OMPA")</f>
        <v>-302.01909009852676</v>
      </c>
      <c r="H31" s="53">
        <f>GETPIVOTDATA("Sum of "&amp;T(Transactions!$Q$19),Pivot!$A$3,"Customer",C31)</f>
        <v>0</v>
      </c>
      <c r="I31" s="68">
        <f t="shared" si="0"/>
        <v>-5832.7852637798151</v>
      </c>
      <c r="J31" s="69">
        <v>0</v>
      </c>
      <c r="K31" s="70">
        <f t="shared" si="1"/>
        <v>-5832.7852637798151</v>
      </c>
      <c r="L31" s="65"/>
    </row>
    <row r="32" spans="2:19" x14ac:dyDescent="0.2">
      <c r="B32" s="65"/>
      <c r="C32" s="66" t="s">
        <v>54</v>
      </c>
      <c r="D32" s="67">
        <f>GETPIVOTDATA("Sum of "&amp;T(Transactions!$J$19),Pivot!$A$3,"Customer",C32)</f>
        <v>460.4495738059012</v>
      </c>
      <c r="E32" s="67">
        <f>GETPIVOTDATA("Sum of "&amp;T(Transactions!$K$19),Pivot!$A$3,"Customer",C32)</f>
        <v>1014.7956860876523</v>
      </c>
      <c r="F32" s="67">
        <f t="shared" si="2"/>
        <v>-554.34611228175106</v>
      </c>
      <c r="G32" s="53">
        <f>+GETPIVOTDATA("Sum of "&amp;T(Transactions!$M$19),Pivot!$A$3,"Customer","Prescott, AR")</f>
        <v>-30.271232442928078</v>
      </c>
      <c r="H32" s="53">
        <f>GETPIVOTDATA("Sum of "&amp;T(Transactions!$Q$19),Pivot!$A$3,"Customer",C32)</f>
        <v>0</v>
      </c>
      <c r="I32" s="68">
        <f t="shared" si="0"/>
        <v>-584.61734472467913</v>
      </c>
      <c r="J32" s="69">
        <v>0</v>
      </c>
      <c r="K32" s="70">
        <f t="shared" si="1"/>
        <v>-584.61734472467913</v>
      </c>
      <c r="L32" s="65"/>
    </row>
    <row r="33" spans="2:13" x14ac:dyDescent="0.2">
      <c r="B33" s="65"/>
      <c r="C33" s="73" t="s">
        <v>9</v>
      </c>
      <c r="D33" s="67">
        <f>GETPIVOTDATA("Sum of "&amp;T(Transactions!$J$19),Pivot!$A$3,"Customer",C33)</f>
        <v>1975.3638204497438</v>
      </c>
      <c r="E33" s="67">
        <f>GETPIVOTDATA("Sum of "&amp;T(Transactions!$K$19),Pivot!$A$3,"Customer",C33)</f>
        <v>4353.5509586355756</v>
      </c>
      <c r="F33" s="67">
        <f t="shared" si="2"/>
        <v>-2378.1871381858318</v>
      </c>
      <c r="G33" s="53">
        <f>+GETPIVOTDATA("Sum of "&amp;T(Transactions!$M$19),Pivot!$A$3,"Customer","WFEC")</f>
        <v>-129.86589796126398</v>
      </c>
      <c r="H33" s="53">
        <f>GETPIVOTDATA("Sum of "&amp;T(Transactions!$Q$19),Pivot!$A$3,"Customer",C33)</f>
        <v>0</v>
      </c>
      <c r="I33" s="68">
        <f t="shared" si="0"/>
        <v>-2508.053036147096</v>
      </c>
      <c r="J33" s="69">
        <v>0</v>
      </c>
      <c r="K33" s="70">
        <f t="shared" si="1"/>
        <v>-2508.053036147096</v>
      </c>
      <c r="L33" s="65"/>
    </row>
    <row r="34" spans="2:13" ht="24" x14ac:dyDescent="0.2">
      <c r="C34" s="74" t="s">
        <v>42</v>
      </c>
      <c r="D34" s="75">
        <f t="shared" ref="D34:J34" si="3">SUM(D21:D33)</f>
        <v>97587.190588908677</v>
      </c>
      <c r="E34" s="75">
        <f t="shared" si="3"/>
        <v>215074.71319494332</v>
      </c>
      <c r="F34" s="75">
        <f t="shared" si="3"/>
        <v>-117487.52260603465</v>
      </c>
      <c r="G34" s="76">
        <f t="shared" si="3"/>
        <v>-6415.652653018743</v>
      </c>
      <c r="H34" s="76">
        <f t="shared" si="3"/>
        <v>0</v>
      </c>
      <c r="I34" s="77">
        <f t="shared" si="3"/>
        <v>-123903.17525905342</v>
      </c>
      <c r="J34" s="78">
        <f t="shared" si="3"/>
        <v>0</v>
      </c>
      <c r="K34" s="79">
        <f t="shared" si="1"/>
        <v>-123903.17525905342</v>
      </c>
    </row>
    <row r="35" spans="2:13" x14ac:dyDescent="0.2">
      <c r="C35" s="80" t="s">
        <v>21</v>
      </c>
      <c r="D35" s="67">
        <f>GETPIVOTDATA("Sum of "&amp;T(Transactions!$J$19),Pivot!$A$3,"Customer",C35)</f>
        <v>136170.05296804896</v>
      </c>
      <c r="E35" s="67">
        <f>GETPIVOTDATA("Sum of "&amp;T(Transactions!$K$19),Pivot!$A$3,"Customer",C35)</f>
        <v>300108.39446352463</v>
      </c>
      <c r="F35" s="67">
        <f t="shared" si="2"/>
        <v>-163938.34149547567</v>
      </c>
      <c r="G35" s="53">
        <f>+GETPIVOTDATA("Sum of "&amp;T(Transactions!$M$19),Pivot!$A$3,"Customer","PSO")</f>
        <v>-8952.1970692479154</v>
      </c>
      <c r="H35" s="53">
        <f>GETPIVOTDATA("Sum of "&amp;T(Transactions!$Q$19),Pivot!$A$3,"Customer",C35)</f>
        <v>0</v>
      </c>
      <c r="I35" s="68">
        <f>F35+G35-H35</f>
        <v>-172890.5385647236</v>
      </c>
      <c r="J35" s="69">
        <v>0</v>
      </c>
      <c r="K35" s="70">
        <f t="shared" si="1"/>
        <v>-172890.5385647236</v>
      </c>
    </row>
    <row r="36" spans="2:13" x14ac:dyDescent="0.2">
      <c r="C36" s="81" t="s">
        <v>22</v>
      </c>
      <c r="D36" s="67">
        <f>GETPIVOTDATA("Sum of "&amp;T(Transactions!$J$19),Pivot!$A$3,"Customer",C36)</f>
        <v>128289.68697970675</v>
      </c>
      <c r="E36" s="67">
        <f>GETPIVOTDATA("Sum of "&amp;T(Transactions!$K$19),Pivot!$A$3,"Customer",C36)</f>
        <v>282740.66982071154</v>
      </c>
      <c r="F36" s="67">
        <f>D36-E36</f>
        <v>-154450.98284100479</v>
      </c>
      <c r="G36" s="53">
        <f>+GETPIVOTDATA("Sum of "&amp;T(Transactions!$M$19),Pivot!$A$3,"Customer","SWEPCO")</f>
        <v>-8434.1199460643675</v>
      </c>
      <c r="H36" s="53">
        <f>GETPIVOTDATA("Sum of "&amp;T(Transactions!$Q$19),Pivot!$A$3,"Customer",C36)</f>
        <v>0</v>
      </c>
      <c r="I36" s="68">
        <f>F36+G36-H36</f>
        <v>-162885.10278706916</v>
      </c>
      <c r="J36" s="69">
        <v>0</v>
      </c>
      <c r="K36" s="70">
        <f t="shared" si="1"/>
        <v>-162885.10278706916</v>
      </c>
    </row>
    <row r="37" spans="2:13" x14ac:dyDescent="0.2">
      <c r="C37" s="82" t="s">
        <v>80</v>
      </c>
      <c r="D37" s="67">
        <f>GETPIVOTDATA("Sum of "&amp;T(Transactions!$J$19),Pivot!$A$3,"Customer",C37)</f>
        <v>5869.8533454645412</v>
      </c>
      <c r="E37" s="67">
        <f>GETPIVOTDATA("Sum of "&amp;T(Transactions!$K$19),Pivot!$A$3,"Customer",C37)</f>
        <v>12936.708364628848</v>
      </c>
      <c r="F37" s="67">
        <f>D37-E37</f>
        <v>-7066.8550191643071</v>
      </c>
      <c r="G37" s="53">
        <f>+GETPIVOTDATA("Sum of "&amp;T(Transactions!$M$19),Pivot!$A$3,"Customer","SWEPCO-Valley")</f>
        <v>-385.90044411977016</v>
      </c>
      <c r="H37" s="53">
        <f>GETPIVOTDATA("Sum of "&amp;T(Transactions!$Q$19),Pivot!$A$3,"Customer",C37)</f>
        <v>0</v>
      </c>
      <c r="I37" s="68">
        <f>F37+G37-H37</f>
        <v>-7452.7554632840775</v>
      </c>
      <c r="J37" s="69">
        <v>0</v>
      </c>
      <c r="K37" s="70">
        <f t="shared" si="1"/>
        <v>-7452.7554632840775</v>
      </c>
    </row>
    <row r="38" spans="2:13" ht="24" x14ac:dyDescent="0.2">
      <c r="C38" s="83" t="s">
        <v>50</v>
      </c>
      <c r="D38" s="84">
        <f t="shared" ref="D38:I38" si="4">SUM(D35:D37)</f>
        <v>270329.59329322027</v>
      </c>
      <c r="E38" s="84">
        <f t="shared" si="4"/>
        <v>595785.77264886501</v>
      </c>
      <c r="F38" s="84">
        <f t="shared" si="4"/>
        <v>-325456.1793556448</v>
      </c>
      <c r="G38" s="85">
        <f t="shared" si="4"/>
        <v>-17772.217459432053</v>
      </c>
      <c r="H38" s="85">
        <f t="shared" si="4"/>
        <v>0</v>
      </c>
      <c r="I38" s="86">
        <f t="shared" si="4"/>
        <v>-343228.39681507682</v>
      </c>
      <c r="J38" s="87">
        <f>SUM(J35:J37)</f>
        <v>0</v>
      </c>
      <c r="K38" s="88">
        <f t="shared" si="1"/>
        <v>-343228.39681507682</v>
      </c>
      <c r="M38" s="89"/>
    </row>
    <row r="39" spans="2:13" ht="23.25" customHeight="1" thickBot="1" x14ac:dyDescent="0.25">
      <c r="C39" s="90" t="s">
        <v>43</v>
      </c>
      <c r="D39" s="91">
        <f t="shared" ref="D39:I39" si="5">SUM(D34,D38)</f>
        <v>367916.78388212895</v>
      </c>
      <c r="E39" s="92">
        <f t="shared" si="5"/>
        <v>810860.48584380839</v>
      </c>
      <c r="F39" s="91">
        <f t="shared" si="5"/>
        <v>-442943.70196167944</v>
      </c>
      <c r="G39" s="92">
        <f t="shared" si="5"/>
        <v>-24187.870112450797</v>
      </c>
      <c r="H39" s="92">
        <f t="shared" si="5"/>
        <v>0</v>
      </c>
      <c r="I39" s="93">
        <f t="shared" si="5"/>
        <v>-467131.57207413024</v>
      </c>
      <c r="J39" s="94">
        <f>SUM(J34,J38)</f>
        <v>0</v>
      </c>
      <c r="K39" s="95">
        <f t="shared" si="1"/>
        <v>-467131.57207413024</v>
      </c>
      <c r="M39" s="89"/>
    </row>
    <row r="40" spans="2:13" x14ac:dyDescent="0.2">
      <c r="E40" s="52"/>
      <c r="F40" s="52"/>
      <c r="G40" s="52"/>
      <c r="H40" s="52"/>
    </row>
    <row r="41" spans="2:13" x14ac:dyDescent="0.2">
      <c r="K41" s="96"/>
    </row>
    <row r="42" spans="2:13" x14ac:dyDescent="0.2">
      <c r="K42" s="96"/>
    </row>
    <row r="43" spans="2:13" x14ac:dyDescent="0.2">
      <c r="K43" s="96"/>
    </row>
    <row r="45" spans="2:13" x14ac:dyDescent="0.2">
      <c r="K45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F104" activePane="bottomRight" state="frozen"/>
      <selection pane="topRight" activeCell="C1" sqref="C1"/>
      <selection pane="bottomLeft" activeCell="A5" sqref="A5"/>
      <selection pane="bottomRight" activeCell="N117" sqref="N117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bestFit="1" customWidth="1"/>
    <col min="16" max="16384" width="8.7109375" style="1"/>
  </cols>
  <sheetData>
    <row r="3" spans="1:15" x14ac:dyDescent="0.2">
      <c r="A3" s="97"/>
      <c r="B3" s="98"/>
      <c r="C3" s="99" t="s">
        <v>52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">
      <c r="A4" s="99" t="s">
        <v>0</v>
      </c>
      <c r="B4" s="99" t="s">
        <v>24</v>
      </c>
      <c r="C4" s="101">
        <v>44562</v>
      </c>
      <c r="D4" s="102">
        <v>44593</v>
      </c>
      <c r="E4" s="102">
        <v>44621</v>
      </c>
      <c r="F4" s="102">
        <v>44652</v>
      </c>
      <c r="G4" s="102">
        <v>44682</v>
      </c>
      <c r="H4" s="102">
        <v>44713</v>
      </c>
      <c r="I4" s="102">
        <v>44743</v>
      </c>
      <c r="J4" s="102">
        <v>44774</v>
      </c>
      <c r="K4" s="102">
        <v>44805</v>
      </c>
      <c r="L4" s="102">
        <v>44835</v>
      </c>
      <c r="M4" s="102">
        <v>44866</v>
      </c>
      <c r="N4" s="102">
        <v>44896</v>
      </c>
      <c r="O4" s="103" t="s">
        <v>18</v>
      </c>
    </row>
    <row r="5" spans="1:15" x14ac:dyDescent="0.2">
      <c r="A5" s="97" t="s">
        <v>14</v>
      </c>
      <c r="B5" s="97" t="s">
        <v>69</v>
      </c>
      <c r="C5" s="104">
        <v>3138.7898428142721</v>
      </c>
      <c r="D5" s="105">
        <v>2797.846265263338</v>
      </c>
      <c r="E5" s="105">
        <v>2460.4175699551965</v>
      </c>
      <c r="F5" s="105">
        <v>1929.6703512934328</v>
      </c>
      <c r="G5" s="105">
        <v>2646.706328823233</v>
      </c>
      <c r="H5" s="105">
        <v>3311.0190727111362</v>
      </c>
      <c r="I5" s="105">
        <v>3641.4180035336913</v>
      </c>
      <c r="J5" s="105">
        <v>3353.1976596246536</v>
      </c>
      <c r="K5" s="105">
        <v>3022.7987288020986</v>
      </c>
      <c r="L5" s="105">
        <v>2070.2656410051582</v>
      </c>
      <c r="M5" s="105">
        <v>2565.8640372389909</v>
      </c>
      <c r="N5" s="105">
        <v>3947.2127586566939</v>
      </c>
      <c r="O5" s="106">
        <v>34885.20625972189</v>
      </c>
    </row>
    <row r="6" spans="1:15" x14ac:dyDescent="0.2">
      <c r="A6" s="230"/>
      <c r="B6" s="107" t="s">
        <v>25</v>
      </c>
      <c r="C6" s="241">
        <v>-3778.8631928824711</v>
      </c>
      <c r="D6" s="242">
        <v>-3368.3931708112505</v>
      </c>
      <c r="E6" s="242">
        <v>-2962.1547984521053</v>
      </c>
      <c r="F6" s="242">
        <v>-2323.1756919288655</v>
      </c>
      <c r="G6" s="242">
        <v>-3186.4322331920503</v>
      </c>
      <c r="H6" s="242">
        <v>-3986.2140287741181</v>
      </c>
      <c r="I6" s="242">
        <v>-4383.9891017091149</v>
      </c>
      <c r="J6" s="242">
        <v>-4036.9938253190116</v>
      </c>
      <c r="K6" s="242">
        <v>-3639.2187523840148</v>
      </c>
      <c r="L6" s="242">
        <v>-2492.4416804118423</v>
      </c>
      <c r="M6" s="242">
        <v>-3089.1042898143378</v>
      </c>
      <c r="N6" s="242">
        <v>-4752.1426266595909</v>
      </c>
      <c r="O6" s="243">
        <v>-41999.12339233877</v>
      </c>
    </row>
    <row r="7" spans="1:15" x14ac:dyDescent="0.2">
      <c r="A7" s="230"/>
      <c r="B7" s="107" t="s">
        <v>26</v>
      </c>
      <c r="C7" s="241">
        <v>-206.35275245446394</v>
      </c>
      <c r="D7" s="242">
        <v>-183.93817576008209</v>
      </c>
      <c r="E7" s="242">
        <v>-161.75467717595157</v>
      </c>
      <c r="F7" s="242">
        <v>-126.8618825279963</v>
      </c>
      <c r="G7" s="242">
        <v>-174.00181701927363</v>
      </c>
      <c r="H7" s="242">
        <v>-217.67557985678056</v>
      </c>
      <c r="I7" s="242">
        <v>-239.39692222040833</v>
      </c>
      <c r="J7" s="242">
        <v>-220.44851717979685</v>
      </c>
      <c r="K7" s="242">
        <v>-198.72717481616908</v>
      </c>
      <c r="L7" s="242">
        <v>-136.10500693805068</v>
      </c>
      <c r="M7" s="242">
        <v>-168.68702048349238</v>
      </c>
      <c r="N7" s="242">
        <v>-259.5007178122766</v>
      </c>
      <c r="O7" s="243">
        <v>-2293.450244244742</v>
      </c>
    </row>
    <row r="8" spans="1:15" x14ac:dyDescent="0.2">
      <c r="A8" s="230"/>
      <c r="B8" s="107" t="s">
        <v>27</v>
      </c>
      <c r="C8" s="241">
        <v>-3985.215945336935</v>
      </c>
      <c r="D8" s="242">
        <v>-3552.3313465713327</v>
      </c>
      <c r="E8" s="242">
        <v>-3123.909475628057</v>
      </c>
      <c r="F8" s="242">
        <v>-2450.0375744568619</v>
      </c>
      <c r="G8" s="242">
        <v>-3360.4340502113237</v>
      </c>
      <c r="H8" s="242">
        <v>-4203.8896086308987</v>
      </c>
      <c r="I8" s="242">
        <v>-4623.3860239295236</v>
      </c>
      <c r="J8" s="242">
        <v>-4257.4423424988081</v>
      </c>
      <c r="K8" s="242">
        <v>-3837.9459272001841</v>
      </c>
      <c r="L8" s="242">
        <v>-2628.5466873498931</v>
      </c>
      <c r="M8" s="242">
        <v>-3257.79131029783</v>
      </c>
      <c r="N8" s="242">
        <v>-5011.6433444718677</v>
      </c>
      <c r="O8" s="243">
        <v>-44292.573636583518</v>
      </c>
    </row>
    <row r="9" spans="1:15" x14ac:dyDescent="0.2">
      <c r="A9" s="230"/>
      <c r="B9" s="107" t="s">
        <v>48</v>
      </c>
      <c r="C9" s="108">
        <v>6917.6530356967432</v>
      </c>
      <c r="D9" s="96">
        <v>6166.2394360745884</v>
      </c>
      <c r="E9" s="96">
        <v>5422.5723684073018</v>
      </c>
      <c r="F9" s="96">
        <v>4252.8460432222982</v>
      </c>
      <c r="G9" s="96">
        <v>5833.1385620152832</v>
      </c>
      <c r="H9" s="96">
        <v>7297.2331014852543</v>
      </c>
      <c r="I9" s="96">
        <v>8025.4071052428062</v>
      </c>
      <c r="J9" s="96">
        <v>7390.1914849436653</v>
      </c>
      <c r="K9" s="96">
        <v>6662.0174811861134</v>
      </c>
      <c r="L9" s="96">
        <v>4562.7073214170005</v>
      </c>
      <c r="M9" s="96">
        <v>5654.9683270533287</v>
      </c>
      <c r="N9" s="96">
        <v>8699.3553853162848</v>
      </c>
      <c r="O9" s="109">
        <v>76884.329652060682</v>
      </c>
    </row>
    <row r="10" spans="1:15" x14ac:dyDescent="0.2">
      <c r="A10" s="230"/>
      <c r="B10" s="107" t="s">
        <v>86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">
      <c r="A11" s="230"/>
      <c r="B11" s="107" t="s">
        <v>88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">
      <c r="A12" s="97" t="s">
        <v>17</v>
      </c>
      <c r="B12" s="97" t="s">
        <v>69</v>
      </c>
      <c r="C12" s="104">
        <v>372.57751773607265</v>
      </c>
      <c r="D12" s="105">
        <v>355.00310652210698</v>
      </c>
      <c r="E12" s="105">
        <v>340.94357755093438</v>
      </c>
      <c r="F12" s="105">
        <v>344.45845979372751</v>
      </c>
      <c r="G12" s="105">
        <v>365.54775325048638</v>
      </c>
      <c r="H12" s="105">
        <v>404.21145792121087</v>
      </c>
      <c r="I12" s="105">
        <v>147.62505419731181</v>
      </c>
      <c r="J12" s="105">
        <v>144.11017195451865</v>
      </c>
      <c r="K12" s="105">
        <v>404.21145792121087</v>
      </c>
      <c r="L12" s="105">
        <v>369.06263549327952</v>
      </c>
      <c r="M12" s="105">
        <v>365.54775325048638</v>
      </c>
      <c r="N12" s="105">
        <v>365.54775325048638</v>
      </c>
      <c r="O12" s="106">
        <v>3978.8466988418322</v>
      </c>
    </row>
    <row r="13" spans="1:15" x14ac:dyDescent="0.2">
      <c r="A13" s="230"/>
      <c r="B13" s="107" t="s">
        <v>25</v>
      </c>
      <c r="C13" s="241">
        <v>-448.55486947989016</v>
      </c>
      <c r="D13" s="242">
        <v>-427.39662091951794</v>
      </c>
      <c r="E13" s="242">
        <v>-410.47002207122023</v>
      </c>
      <c r="F13" s="242">
        <v>-414.70167178329467</v>
      </c>
      <c r="G13" s="242">
        <v>-440.09157005574127</v>
      </c>
      <c r="H13" s="242">
        <v>-486.63971688856014</v>
      </c>
      <c r="I13" s="242">
        <v>-177.72928790712629</v>
      </c>
      <c r="J13" s="242">
        <v>-173.49763819505188</v>
      </c>
      <c r="K13" s="242">
        <v>-486.63971688856014</v>
      </c>
      <c r="L13" s="242">
        <v>-444.32321976781571</v>
      </c>
      <c r="M13" s="242">
        <v>-440.09157005574127</v>
      </c>
      <c r="N13" s="242">
        <v>-440.09157005574127</v>
      </c>
      <c r="O13" s="243">
        <v>-4790.2274740682615</v>
      </c>
    </row>
    <row r="14" spans="1:15" x14ac:dyDescent="0.2">
      <c r="A14" s="230"/>
      <c r="B14" s="107" t="s">
        <v>26</v>
      </c>
      <c r="C14" s="241">
        <v>-24.494279686644095</v>
      </c>
      <c r="D14" s="242">
        <v>-23.338889135387298</v>
      </c>
      <c r="E14" s="242">
        <v>-22.414576694381861</v>
      </c>
      <c r="F14" s="242">
        <v>-22.645654804633221</v>
      </c>
      <c r="G14" s="242">
        <v>-24.032123466141375</v>
      </c>
      <c r="H14" s="242">
        <v>-26.573982678906333</v>
      </c>
      <c r="I14" s="242">
        <v>-9.7052806305570947</v>
      </c>
      <c r="J14" s="242">
        <v>-9.4742025203057345</v>
      </c>
      <c r="K14" s="242">
        <v>-26.573982678906333</v>
      </c>
      <c r="L14" s="242">
        <v>-24.263201576392738</v>
      </c>
      <c r="M14" s="242">
        <v>-24.032123466141375</v>
      </c>
      <c r="N14" s="242">
        <v>-24.032123466141375</v>
      </c>
      <c r="O14" s="243">
        <v>-261.58042080453885</v>
      </c>
    </row>
    <row r="15" spans="1:15" x14ac:dyDescent="0.2">
      <c r="A15" s="230"/>
      <c r="B15" s="107" t="s">
        <v>27</v>
      </c>
      <c r="C15" s="241">
        <v>-473.04914916653428</v>
      </c>
      <c r="D15" s="242">
        <v>-450.73551005490526</v>
      </c>
      <c r="E15" s="242">
        <v>-432.88459876560211</v>
      </c>
      <c r="F15" s="242">
        <v>-437.34732658792791</v>
      </c>
      <c r="G15" s="242">
        <v>-464.12369352188267</v>
      </c>
      <c r="H15" s="242">
        <v>-513.21369956746651</v>
      </c>
      <c r="I15" s="242">
        <v>-187.43456853768339</v>
      </c>
      <c r="J15" s="242">
        <v>-182.97184071535762</v>
      </c>
      <c r="K15" s="242">
        <v>-513.21369956746651</v>
      </c>
      <c r="L15" s="242">
        <v>-468.58642134420847</v>
      </c>
      <c r="M15" s="242">
        <v>-464.12369352188267</v>
      </c>
      <c r="N15" s="242">
        <v>-464.12369352188267</v>
      </c>
      <c r="O15" s="243">
        <v>-5051.8078948728007</v>
      </c>
    </row>
    <row r="16" spans="1:15" x14ac:dyDescent="0.2">
      <c r="A16" s="230"/>
      <c r="B16" s="107" t="s">
        <v>48</v>
      </c>
      <c r="C16" s="108">
        <v>821.13238721596281</v>
      </c>
      <c r="D16" s="96">
        <v>782.39972744162492</v>
      </c>
      <c r="E16" s="96">
        <v>751.41359962215461</v>
      </c>
      <c r="F16" s="96">
        <v>759.16013157702218</v>
      </c>
      <c r="G16" s="96">
        <v>805.63932330622765</v>
      </c>
      <c r="H16" s="96">
        <v>890.85117480977101</v>
      </c>
      <c r="I16" s="96">
        <v>325.3543421044381</v>
      </c>
      <c r="J16" s="96">
        <v>317.60781014957053</v>
      </c>
      <c r="K16" s="96">
        <v>890.85117480977101</v>
      </c>
      <c r="L16" s="96">
        <v>813.38585526109523</v>
      </c>
      <c r="M16" s="96">
        <v>805.63932330622765</v>
      </c>
      <c r="N16" s="96">
        <v>805.63932330622765</v>
      </c>
      <c r="O16" s="109">
        <v>8769.0741729100937</v>
      </c>
    </row>
    <row r="17" spans="1:15" x14ac:dyDescent="0.2">
      <c r="A17" s="230"/>
      <c r="B17" s="107" t="s">
        <v>86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">
      <c r="A18" s="230"/>
      <c r="B18" s="107" t="s">
        <v>88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">
      <c r="A19" s="97" t="s">
        <v>13</v>
      </c>
      <c r="B19" s="97" t="s">
        <v>69</v>
      </c>
      <c r="C19" s="104">
        <v>3673.0519437188295</v>
      </c>
      <c r="D19" s="105">
        <v>3915.5788184715557</v>
      </c>
      <c r="E19" s="105">
        <v>3434.0399512088961</v>
      </c>
      <c r="F19" s="105">
        <v>1894.5215288655015</v>
      </c>
      <c r="G19" s="105">
        <v>2650.2212110660262</v>
      </c>
      <c r="H19" s="105">
        <v>3325.0786016823085</v>
      </c>
      <c r="I19" s="105">
        <v>3441.0697156944821</v>
      </c>
      <c r="J19" s="105">
        <v>3419.9804222377234</v>
      </c>
      <c r="K19" s="105">
        <v>2977.105259645788</v>
      </c>
      <c r="L19" s="105">
        <v>2140.5632858610211</v>
      </c>
      <c r="M19" s="105">
        <v>2836.5099699340626</v>
      </c>
      <c r="N19" s="105">
        <v>5040.3411361653598</v>
      </c>
      <c r="O19" s="106">
        <v>38748.061844551557</v>
      </c>
    </row>
    <row r="20" spans="1:15" x14ac:dyDescent="0.2">
      <c r="A20" s="230"/>
      <c r="B20" s="107" t="s">
        <v>25</v>
      </c>
      <c r="C20" s="241">
        <v>-4422.0739491177847</v>
      </c>
      <c r="D20" s="242">
        <v>-4714.0577792509221</v>
      </c>
      <c r="E20" s="242">
        <v>-4134.3217686967228</v>
      </c>
      <c r="F20" s="242">
        <v>-2280.8591948081203</v>
      </c>
      <c r="G20" s="242">
        <v>-3190.6638829041244</v>
      </c>
      <c r="H20" s="242">
        <v>-4003.1406276224161</v>
      </c>
      <c r="I20" s="242">
        <v>-4142.7850681208729</v>
      </c>
      <c r="J20" s="242">
        <v>-4117.3951698484252</v>
      </c>
      <c r="K20" s="242">
        <v>-3584.2073061270471</v>
      </c>
      <c r="L20" s="242">
        <v>-2577.0746746533309</v>
      </c>
      <c r="M20" s="242">
        <v>-3414.9413176440694</v>
      </c>
      <c r="N20" s="242">
        <v>-6068.1856871147411</v>
      </c>
      <c r="O20" s="243">
        <v>-46649.706425908582</v>
      </c>
    </row>
    <row r="21" spans="1:15" x14ac:dyDescent="0.2">
      <c r="A21" s="230"/>
      <c r="B21" s="107" t="s">
        <v>26</v>
      </c>
      <c r="C21" s="241">
        <v>-241.4766252126706</v>
      </c>
      <c r="D21" s="242">
        <v>-257.42101482001436</v>
      </c>
      <c r="E21" s="242">
        <v>-225.76331371557811</v>
      </c>
      <c r="F21" s="242">
        <v>-124.55110142548271</v>
      </c>
      <c r="G21" s="242">
        <v>-174.23289512952499</v>
      </c>
      <c r="H21" s="242">
        <v>-218.599892297786</v>
      </c>
      <c r="I21" s="242">
        <v>-226.22546993608083</v>
      </c>
      <c r="J21" s="242">
        <v>-224.83900127457269</v>
      </c>
      <c r="K21" s="242">
        <v>-195.7231593829014</v>
      </c>
      <c r="L21" s="242">
        <v>-140.72656914307788</v>
      </c>
      <c r="M21" s="242">
        <v>-186.48003497284702</v>
      </c>
      <c r="N21" s="242">
        <v>-331.36601010044933</v>
      </c>
      <c r="O21" s="243">
        <v>-2547.4050874109857</v>
      </c>
    </row>
    <row r="22" spans="1:15" x14ac:dyDescent="0.2">
      <c r="A22" s="230"/>
      <c r="B22" s="107" t="s">
        <v>27</v>
      </c>
      <c r="C22" s="241">
        <v>-4663.5505743304557</v>
      </c>
      <c r="D22" s="242">
        <v>-4971.4787940709366</v>
      </c>
      <c r="E22" s="242">
        <v>-4360.0850824123008</v>
      </c>
      <c r="F22" s="242">
        <v>-2405.4102962336028</v>
      </c>
      <c r="G22" s="242">
        <v>-3364.8967780336493</v>
      </c>
      <c r="H22" s="242">
        <v>-4221.7405199202021</v>
      </c>
      <c r="I22" s="242">
        <v>-4369.0105380569539</v>
      </c>
      <c r="J22" s="242">
        <v>-4342.2341711229983</v>
      </c>
      <c r="K22" s="242">
        <v>-3779.9304655099486</v>
      </c>
      <c r="L22" s="242">
        <v>-2717.8012437964089</v>
      </c>
      <c r="M22" s="242">
        <v>-3601.4213526169165</v>
      </c>
      <c r="N22" s="242">
        <v>-6399.5516972151909</v>
      </c>
      <c r="O22" s="243">
        <v>-49197.111513319564</v>
      </c>
    </row>
    <row r="23" spans="1:15" x14ac:dyDescent="0.2">
      <c r="A23" s="230"/>
      <c r="B23" s="107" t="s">
        <v>48</v>
      </c>
      <c r="C23" s="108">
        <v>8095.1258928366142</v>
      </c>
      <c r="D23" s="96">
        <v>8629.6365977224777</v>
      </c>
      <c r="E23" s="96">
        <v>7568.3617199056189</v>
      </c>
      <c r="F23" s="96">
        <v>4175.380723673622</v>
      </c>
      <c r="G23" s="96">
        <v>5840.8850939701506</v>
      </c>
      <c r="H23" s="96">
        <v>7328.2192293047246</v>
      </c>
      <c r="I23" s="96">
        <v>7583.8547838153545</v>
      </c>
      <c r="J23" s="96">
        <v>7537.3755920861486</v>
      </c>
      <c r="K23" s="96">
        <v>6561.3125657728351</v>
      </c>
      <c r="L23" s="96">
        <v>4717.637960514352</v>
      </c>
      <c r="M23" s="96">
        <v>6251.451287578132</v>
      </c>
      <c r="N23" s="96">
        <v>11108.526823280101</v>
      </c>
      <c r="O23" s="109">
        <v>85397.768270460132</v>
      </c>
    </row>
    <row r="24" spans="1:15" x14ac:dyDescent="0.2">
      <c r="A24" s="230"/>
      <c r="B24" s="107" t="s">
        <v>86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">
      <c r="A25" s="230"/>
      <c r="B25" s="107" t="s">
        <v>88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">
      <c r="A26" s="97" t="s">
        <v>15</v>
      </c>
      <c r="B26" s="97" t="s">
        <v>69</v>
      </c>
      <c r="C26" s="104">
        <v>28.119057942345105</v>
      </c>
      <c r="D26" s="105">
        <v>24.604175699551966</v>
      </c>
      <c r="E26" s="105">
        <v>17.574411213965689</v>
      </c>
      <c r="F26" s="105">
        <v>24.604175699551966</v>
      </c>
      <c r="G26" s="105">
        <v>35.148822427931378</v>
      </c>
      <c r="H26" s="105">
        <v>49.208351399103933</v>
      </c>
      <c r="I26" s="105">
        <v>63.267880370276487</v>
      </c>
      <c r="J26" s="105">
        <v>56.23811588469021</v>
      </c>
      <c r="K26" s="105">
        <v>31.633940185138243</v>
      </c>
      <c r="L26" s="105">
        <v>21.089293456758828</v>
      </c>
      <c r="M26" s="105">
        <v>21.089293456758828</v>
      </c>
      <c r="N26" s="105">
        <v>28.119057942345105</v>
      </c>
      <c r="O26" s="106">
        <v>400.69657567841773</v>
      </c>
    </row>
    <row r="27" spans="1:15" x14ac:dyDescent="0.2">
      <c r="A27" s="230"/>
      <c r="B27" s="107" t="s">
        <v>25</v>
      </c>
      <c r="C27" s="241">
        <v>-33.853197696595487</v>
      </c>
      <c r="D27" s="242">
        <v>-29.621547984521051</v>
      </c>
      <c r="E27" s="242">
        <v>-21.158248560372179</v>
      </c>
      <c r="F27" s="242">
        <v>-29.621547984521051</v>
      </c>
      <c r="G27" s="242">
        <v>-42.316497120744359</v>
      </c>
      <c r="H27" s="242">
        <v>-59.243095969042102</v>
      </c>
      <c r="I27" s="242">
        <v>-76.169694817339831</v>
      </c>
      <c r="J27" s="242">
        <v>-67.706395393190974</v>
      </c>
      <c r="K27" s="242">
        <v>-38.084847408669916</v>
      </c>
      <c r="L27" s="242">
        <v>-25.389898272446612</v>
      </c>
      <c r="M27" s="242">
        <v>-25.389898272446612</v>
      </c>
      <c r="N27" s="242">
        <v>-33.853197696595487</v>
      </c>
      <c r="O27" s="243">
        <v>-482.40806717648564</v>
      </c>
    </row>
    <row r="28" spans="1:15" x14ac:dyDescent="0.2">
      <c r="A28" s="230"/>
      <c r="B28" s="107" t="s">
        <v>26</v>
      </c>
      <c r="C28" s="241">
        <v>-1.8486248820108753</v>
      </c>
      <c r="D28" s="242">
        <v>-1.6175467717595156</v>
      </c>
      <c r="E28" s="242">
        <v>-1.155390551256797</v>
      </c>
      <c r="F28" s="242">
        <v>-1.6175467717595156</v>
      </c>
      <c r="G28" s="242">
        <v>-2.310781102513594</v>
      </c>
      <c r="H28" s="242">
        <v>-3.2350935435190311</v>
      </c>
      <c r="I28" s="242">
        <v>-4.1594059845244695</v>
      </c>
      <c r="J28" s="242">
        <v>-3.6972497640217505</v>
      </c>
      <c r="K28" s="242">
        <v>-2.0797029922622348</v>
      </c>
      <c r="L28" s="242">
        <v>-1.3864686615081563</v>
      </c>
      <c r="M28" s="242">
        <v>-1.3864686615081563</v>
      </c>
      <c r="N28" s="242">
        <v>-1.8486248820108753</v>
      </c>
      <c r="O28" s="243">
        <v>-26.342904568654973</v>
      </c>
    </row>
    <row r="29" spans="1:15" x14ac:dyDescent="0.2">
      <c r="A29" s="230"/>
      <c r="B29" s="107" t="s">
        <v>27</v>
      </c>
      <c r="C29" s="241">
        <v>-35.701822578606361</v>
      </c>
      <c r="D29" s="242">
        <v>-31.239094756280565</v>
      </c>
      <c r="E29" s="242">
        <v>-22.313639111628977</v>
      </c>
      <c r="F29" s="242">
        <v>-31.239094756280565</v>
      </c>
      <c r="G29" s="242">
        <v>-44.627278223257953</v>
      </c>
      <c r="H29" s="242">
        <v>-62.47818951256113</v>
      </c>
      <c r="I29" s="242">
        <v>-80.3291008018643</v>
      </c>
      <c r="J29" s="242">
        <v>-71.403645157212722</v>
      </c>
      <c r="K29" s="242">
        <v>-40.16455040093215</v>
      </c>
      <c r="L29" s="242">
        <v>-26.776366933954769</v>
      </c>
      <c r="M29" s="242">
        <v>-26.776366933954769</v>
      </c>
      <c r="N29" s="242">
        <v>-35.701822578606361</v>
      </c>
      <c r="O29" s="243">
        <v>-508.75097174514065</v>
      </c>
    </row>
    <row r="30" spans="1:15" x14ac:dyDescent="0.2">
      <c r="A30" s="230"/>
      <c r="B30" s="107" t="s">
        <v>48</v>
      </c>
      <c r="C30" s="108">
        <v>61.972255638940588</v>
      </c>
      <c r="D30" s="96">
        <v>54.225723684073017</v>
      </c>
      <c r="E30" s="96">
        <v>38.732659774337868</v>
      </c>
      <c r="F30" s="96">
        <v>54.225723684073017</v>
      </c>
      <c r="G30" s="96">
        <v>77.465319548675737</v>
      </c>
      <c r="H30" s="96">
        <v>108.45144736814603</v>
      </c>
      <c r="I30" s="96">
        <v>139.43757518761632</v>
      </c>
      <c r="J30" s="96">
        <v>123.94451127788118</v>
      </c>
      <c r="K30" s="96">
        <v>69.718787593808159</v>
      </c>
      <c r="L30" s="96">
        <v>46.479191729205439</v>
      </c>
      <c r="M30" s="96">
        <v>46.479191729205439</v>
      </c>
      <c r="N30" s="96">
        <v>61.972255638940588</v>
      </c>
      <c r="O30" s="109">
        <v>883.10464285490343</v>
      </c>
    </row>
    <row r="31" spans="1:15" x14ac:dyDescent="0.2">
      <c r="A31" s="230"/>
      <c r="B31" s="107" t="s">
        <v>86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">
      <c r="A32" s="230"/>
      <c r="B32" s="107" t="s">
        <v>88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">
      <c r="A33" s="97" t="s">
        <v>16</v>
      </c>
      <c r="B33" s="97" t="s">
        <v>69</v>
      </c>
      <c r="C33" s="104">
        <v>10.544646728379414</v>
      </c>
      <c r="D33" s="105">
        <v>7.0297644855862762</v>
      </c>
      <c r="E33" s="105">
        <v>10.544646728379414</v>
      </c>
      <c r="F33" s="105">
        <v>7.0297644855862762</v>
      </c>
      <c r="G33" s="105">
        <v>10.544646728379414</v>
      </c>
      <c r="H33" s="105">
        <v>17.574411213965689</v>
      </c>
      <c r="I33" s="105">
        <v>21.089293456758828</v>
      </c>
      <c r="J33" s="105">
        <v>21.089293456758828</v>
      </c>
      <c r="K33" s="105">
        <v>10.544646728379414</v>
      </c>
      <c r="L33" s="105">
        <v>7.0297644855862762</v>
      </c>
      <c r="M33" s="105">
        <v>3.5148822427931381</v>
      </c>
      <c r="N33" s="105">
        <v>14.059528971172552</v>
      </c>
      <c r="O33" s="106">
        <v>140.59528971172551</v>
      </c>
    </row>
    <row r="34" spans="1:15" x14ac:dyDescent="0.2">
      <c r="A34" s="230"/>
      <c r="B34" s="107" t="s">
        <v>25</v>
      </c>
      <c r="C34" s="241">
        <v>-12.694949136223306</v>
      </c>
      <c r="D34" s="242">
        <v>-8.4632994241488717</v>
      </c>
      <c r="E34" s="242">
        <v>-12.694949136223306</v>
      </c>
      <c r="F34" s="242">
        <v>-8.4632994241488717</v>
      </c>
      <c r="G34" s="242">
        <v>-12.694949136223306</v>
      </c>
      <c r="H34" s="242">
        <v>-21.158248560372179</v>
      </c>
      <c r="I34" s="242">
        <v>-25.389898272446612</v>
      </c>
      <c r="J34" s="242">
        <v>-25.389898272446612</v>
      </c>
      <c r="K34" s="242">
        <v>-12.694949136223306</v>
      </c>
      <c r="L34" s="242">
        <v>-8.4632994241488717</v>
      </c>
      <c r="M34" s="242">
        <v>-4.2316497120744359</v>
      </c>
      <c r="N34" s="242">
        <v>-16.926598848297743</v>
      </c>
      <c r="O34" s="243">
        <v>-169.26598848297746</v>
      </c>
    </row>
    <row r="35" spans="1:15" x14ac:dyDescent="0.2">
      <c r="A35" s="230"/>
      <c r="B35" s="107" t="s">
        <v>26</v>
      </c>
      <c r="C35" s="241">
        <v>-0.69323433075407814</v>
      </c>
      <c r="D35" s="242">
        <v>-0.46215622050271882</v>
      </c>
      <c r="E35" s="242">
        <v>-0.69323433075407814</v>
      </c>
      <c r="F35" s="242">
        <v>-0.46215622050271882</v>
      </c>
      <c r="G35" s="242">
        <v>-0.69323433075407814</v>
      </c>
      <c r="H35" s="242">
        <v>-1.155390551256797</v>
      </c>
      <c r="I35" s="242">
        <v>-1.3864686615081563</v>
      </c>
      <c r="J35" s="242">
        <v>-1.3864686615081563</v>
      </c>
      <c r="K35" s="242">
        <v>-0.69323433075407814</v>
      </c>
      <c r="L35" s="242">
        <v>-0.46215622050271882</v>
      </c>
      <c r="M35" s="242">
        <v>-0.23107811025135941</v>
      </c>
      <c r="N35" s="242">
        <v>-0.92431244100543763</v>
      </c>
      <c r="O35" s="243">
        <v>-9.2431244100543761</v>
      </c>
    </row>
    <row r="36" spans="1:15" x14ac:dyDescent="0.2">
      <c r="A36" s="230"/>
      <c r="B36" s="107" t="s">
        <v>27</v>
      </c>
      <c r="C36" s="241">
        <v>-13.388183466977384</v>
      </c>
      <c r="D36" s="242">
        <v>-8.9254556446515902</v>
      </c>
      <c r="E36" s="242">
        <v>-13.388183466977384</v>
      </c>
      <c r="F36" s="242">
        <v>-8.9254556446515902</v>
      </c>
      <c r="G36" s="242">
        <v>-13.388183466977384</v>
      </c>
      <c r="H36" s="242">
        <v>-22.313639111628977</v>
      </c>
      <c r="I36" s="242">
        <v>-26.776366933954769</v>
      </c>
      <c r="J36" s="242">
        <v>-26.776366933954769</v>
      </c>
      <c r="K36" s="242">
        <v>-13.388183466977384</v>
      </c>
      <c r="L36" s="242">
        <v>-8.9254556446515902</v>
      </c>
      <c r="M36" s="242">
        <v>-4.4627278223257951</v>
      </c>
      <c r="N36" s="242">
        <v>-17.85091128930318</v>
      </c>
      <c r="O36" s="243">
        <v>-178.50911289303178</v>
      </c>
    </row>
    <row r="37" spans="1:15" x14ac:dyDescent="0.2">
      <c r="A37" s="230"/>
      <c r="B37" s="107" t="s">
        <v>48</v>
      </c>
      <c r="C37" s="108">
        <v>23.23959586460272</v>
      </c>
      <c r="D37" s="96">
        <v>15.493063909735147</v>
      </c>
      <c r="E37" s="96">
        <v>23.23959586460272</v>
      </c>
      <c r="F37" s="96">
        <v>15.493063909735147</v>
      </c>
      <c r="G37" s="96">
        <v>23.23959586460272</v>
      </c>
      <c r="H37" s="96">
        <v>38.732659774337868</v>
      </c>
      <c r="I37" s="96">
        <v>46.479191729205439</v>
      </c>
      <c r="J37" s="96">
        <v>46.479191729205439</v>
      </c>
      <c r="K37" s="96">
        <v>23.23959586460272</v>
      </c>
      <c r="L37" s="96">
        <v>15.493063909735147</v>
      </c>
      <c r="M37" s="96">
        <v>7.7465319548675735</v>
      </c>
      <c r="N37" s="96">
        <v>30.986127819470294</v>
      </c>
      <c r="O37" s="109">
        <v>309.86127819470295</v>
      </c>
    </row>
    <row r="38" spans="1:15" x14ac:dyDescent="0.2">
      <c r="A38" s="230"/>
      <c r="B38" s="107" t="s">
        <v>86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">
      <c r="A39" s="230"/>
      <c r="B39" s="107" t="s">
        <v>88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">
      <c r="A40" s="97" t="s">
        <v>19</v>
      </c>
      <c r="B40" s="97" t="s">
        <v>69</v>
      </c>
      <c r="C40" s="104">
        <v>147.62505419731181</v>
      </c>
      <c r="D40" s="105">
        <v>151.13993644010495</v>
      </c>
      <c r="E40" s="105">
        <v>147.62505419731181</v>
      </c>
      <c r="F40" s="105">
        <v>182.77387662524319</v>
      </c>
      <c r="G40" s="105">
        <v>182.77387662524319</v>
      </c>
      <c r="H40" s="105">
        <v>196.83340559641573</v>
      </c>
      <c r="I40" s="105">
        <v>203.863170082002</v>
      </c>
      <c r="J40" s="105">
        <v>210.8929345675883</v>
      </c>
      <c r="K40" s="105">
        <v>203.863170082002</v>
      </c>
      <c r="L40" s="105">
        <v>196.83340559641573</v>
      </c>
      <c r="M40" s="105">
        <v>207.37805232479514</v>
      </c>
      <c r="N40" s="105">
        <v>203.863170082002</v>
      </c>
      <c r="O40" s="106">
        <v>2235.4651064164359</v>
      </c>
    </row>
    <row r="41" spans="1:15" x14ac:dyDescent="0.2">
      <c r="A41" s="230"/>
      <c r="B41" s="107" t="s">
        <v>25</v>
      </c>
      <c r="C41" s="241">
        <v>-177.72928790712629</v>
      </c>
      <c r="D41" s="242">
        <v>-181.96093761920073</v>
      </c>
      <c r="E41" s="242">
        <v>-177.72928790712629</v>
      </c>
      <c r="F41" s="242">
        <v>-220.04578502787064</v>
      </c>
      <c r="G41" s="242">
        <v>-220.04578502787064</v>
      </c>
      <c r="H41" s="242">
        <v>-236.97238387616841</v>
      </c>
      <c r="I41" s="242">
        <v>-245.43568330031724</v>
      </c>
      <c r="J41" s="242">
        <v>-253.89898272446609</v>
      </c>
      <c r="K41" s="242">
        <v>-245.43568330031724</v>
      </c>
      <c r="L41" s="242">
        <v>-236.97238387616841</v>
      </c>
      <c r="M41" s="242">
        <v>-249.66733301239168</v>
      </c>
      <c r="N41" s="242">
        <v>-245.43568330031724</v>
      </c>
      <c r="O41" s="243">
        <v>-2691.3292168793409</v>
      </c>
    </row>
    <row r="42" spans="1:15" x14ac:dyDescent="0.2">
      <c r="A42" s="230"/>
      <c r="B42" s="107" t="s">
        <v>26</v>
      </c>
      <c r="C42" s="241">
        <v>-9.7052806305570947</v>
      </c>
      <c r="D42" s="242">
        <v>-9.9363587408084548</v>
      </c>
      <c r="E42" s="242">
        <v>-9.7052806305570947</v>
      </c>
      <c r="F42" s="242">
        <v>-12.016061733070687</v>
      </c>
      <c r="G42" s="242">
        <v>-12.016061733070687</v>
      </c>
      <c r="H42" s="242">
        <v>-12.940374174076124</v>
      </c>
      <c r="I42" s="242">
        <v>-13.402530394578845</v>
      </c>
      <c r="J42" s="242">
        <v>-13.864686615081563</v>
      </c>
      <c r="K42" s="242">
        <v>-13.402530394578845</v>
      </c>
      <c r="L42" s="242">
        <v>-12.940374174076124</v>
      </c>
      <c r="M42" s="242">
        <v>-13.633608504830205</v>
      </c>
      <c r="N42" s="242">
        <v>-13.402530394578845</v>
      </c>
      <c r="O42" s="243">
        <v>-146.96567811986455</v>
      </c>
    </row>
    <row r="43" spans="1:15" x14ac:dyDescent="0.2">
      <c r="A43" s="230"/>
      <c r="B43" s="107" t="s">
        <v>27</v>
      </c>
      <c r="C43" s="241">
        <v>-187.43456853768339</v>
      </c>
      <c r="D43" s="242">
        <v>-191.89729636000919</v>
      </c>
      <c r="E43" s="242">
        <v>-187.43456853768339</v>
      </c>
      <c r="F43" s="242">
        <v>-232.06184676094134</v>
      </c>
      <c r="G43" s="242">
        <v>-232.06184676094134</v>
      </c>
      <c r="H43" s="242">
        <v>-249.91275805024452</v>
      </c>
      <c r="I43" s="242">
        <v>-258.83821369489607</v>
      </c>
      <c r="J43" s="242">
        <v>-267.76366933954768</v>
      </c>
      <c r="K43" s="242">
        <v>-258.83821369489607</v>
      </c>
      <c r="L43" s="242">
        <v>-249.91275805024452</v>
      </c>
      <c r="M43" s="242">
        <v>-263.30094151722187</v>
      </c>
      <c r="N43" s="242">
        <v>-258.83821369489607</v>
      </c>
      <c r="O43" s="243">
        <v>-2838.2948949992056</v>
      </c>
    </row>
    <row r="44" spans="1:15" x14ac:dyDescent="0.2">
      <c r="A44" s="230"/>
      <c r="B44" s="107" t="s">
        <v>48</v>
      </c>
      <c r="C44" s="108">
        <v>325.3543421044381</v>
      </c>
      <c r="D44" s="96">
        <v>333.10087405930568</v>
      </c>
      <c r="E44" s="96">
        <v>325.3543421044381</v>
      </c>
      <c r="F44" s="96">
        <v>402.81966165311383</v>
      </c>
      <c r="G44" s="96">
        <v>402.81966165311383</v>
      </c>
      <c r="H44" s="96">
        <v>433.80578947258414</v>
      </c>
      <c r="I44" s="96">
        <v>449.29885338231924</v>
      </c>
      <c r="J44" s="96">
        <v>464.79191729205439</v>
      </c>
      <c r="K44" s="96">
        <v>449.29885338231924</v>
      </c>
      <c r="L44" s="96">
        <v>433.80578947258414</v>
      </c>
      <c r="M44" s="96">
        <v>457.04538533718681</v>
      </c>
      <c r="N44" s="96">
        <v>449.29885338231924</v>
      </c>
      <c r="O44" s="109">
        <v>4926.7943232957759</v>
      </c>
    </row>
    <row r="45" spans="1:15" x14ac:dyDescent="0.2">
      <c r="A45" s="230"/>
      <c r="B45" s="107" t="s">
        <v>86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">
      <c r="A46" s="230"/>
      <c r="B46" s="107" t="s">
        <v>88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">
      <c r="A47" s="97" t="s">
        <v>8</v>
      </c>
      <c r="B47" s="97" t="s">
        <v>69</v>
      </c>
      <c r="C47" s="104">
        <v>323.3691663369687</v>
      </c>
      <c r="D47" s="105">
        <v>309.30963736579616</v>
      </c>
      <c r="E47" s="105">
        <v>249.55663923831281</v>
      </c>
      <c r="F47" s="105">
        <v>267.13105045227849</v>
      </c>
      <c r="G47" s="105">
        <v>470.99422053428049</v>
      </c>
      <c r="H47" s="105">
        <v>509.65792520500503</v>
      </c>
      <c r="I47" s="105">
        <v>565.89604108969525</v>
      </c>
      <c r="J47" s="105">
        <v>541.29186539014324</v>
      </c>
      <c r="K47" s="105">
        <v>463.96445604869422</v>
      </c>
      <c r="L47" s="105">
        <v>319.85428409417557</v>
      </c>
      <c r="M47" s="105">
        <v>235.49711026714024</v>
      </c>
      <c r="N47" s="105">
        <v>337.42869530814124</v>
      </c>
      <c r="O47" s="106">
        <v>4593.9510913306312</v>
      </c>
    </row>
    <row r="48" spans="1:15" x14ac:dyDescent="0.2">
      <c r="A48" s="230"/>
      <c r="B48" s="107" t="s">
        <v>25</v>
      </c>
      <c r="C48" s="241">
        <v>-389.31177351084801</v>
      </c>
      <c r="D48" s="242">
        <v>-372.38517466255036</v>
      </c>
      <c r="E48" s="242">
        <v>-300.44712955728488</v>
      </c>
      <c r="F48" s="242">
        <v>-321.6053781176571</v>
      </c>
      <c r="G48" s="242">
        <v>-567.04106141797433</v>
      </c>
      <c r="H48" s="242">
        <v>-613.58920825079304</v>
      </c>
      <c r="I48" s="242">
        <v>-681.29560364398412</v>
      </c>
      <c r="J48" s="242">
        <v>-651.67405565946308</v>
      </c>
      <c r="K48" s="242">
        <v>-558.57776199382556</v>
      </c>
      <c r="L48" s="242">
        <v>-385.08012379877357</v>
      </c>
      <c r="M48" s="242">
        <v>-283.52053070898717</v>
      </c>
      <c r="N48" s="242">
        <v>-406.23837235914579</v>
      </c>
      <c r="O48" s="243">
        <v>-5530.766173681287</v>
      </c>
    </row>
    <row r="49" spans="1:15" x14ac:dyDescent="0.2">
      <c r="A49" s="230"/>
      <c r="B49" s="107" t="s">
        <v>26</v>
      </c>
      <c r="C49" s="241">
        <v>-21.259186143125063</v>
      </c>
      <c r="D49" s="242">
        <v>-20.334873702119626</v>
      </c>
      <c r="E49" s="242">
        <v>-16.406545827846518</v>
      </c>
      <c r="F49" s="242">
        <v>-17.561936379103315</v>
      </c>
      <c r="G49" s="242">
        <v>-30.964466773682158</v>
      </c>
      <c r="H49" s="242">
        <v>-33.506325986447109</v>
      </c>
      <c r="I49" s="242">
        <v>-37.203575750468858</v>
      </c>
      <c r="J49" s="242">
        <v>-35.586028978709351</v>
      </c>
      <c r="K49" s="242">
        <v>-30.502310553179441</v>
      </c>
      <c r="L49" s="242">
        <v>-21.028108032873703</v>
      </c>
      <c r="M49" s="242">
        <v>-15.482233386841079</v>
      </c>
      <c r="N49" s="242">
        <v>-22.183498584130501</v>
      </c>
      <c r="O49" s="243">
        <v>-302.01909009852676</v>
      </c>
    </row>
    <row r="50" spans="1:15" x14ac:dyDescent="0.2">
      <c r="A50" s="230"/>
      <c r="B50" s="107" t="s">
        <v>27</v>
      </c>
      <c r="C50" s="241">
        <v>-410.57095965397309</v>
      </c>
      <c r="D50" s="242">
        <v>-392.72004836466999</v>
      </c>
      <c r="E50" s="242">
        <v>-316.8536753851314</v>
      </c>
      <c r="F50" s="242">
        <v>-339.16731449676041</v>
      </c>
      <c r="G50" s="242">
        <v>-598.00552819165648</v>
      </c>
      <c r="H50" s="242">
        <v>-647.09553423724014</v>
      </c>
      <c r="I50" s="242">
        <v>-718.49917939445299</v>
      </c>
      <c r="J50" s="242">
        <v>-687.26008463817243</v>
      </c>
      <c r="K50" s="242">
        <v>-589.08007254700499</v>
      </c>
      <c r="L50" s="242">
        <v>-406.10823183164729</v>
      </c>
      <c r="M50" s="242">
        <v>-299.00276409582824</v>
      </c>
      <c r="N50" s="242">
        <v>-428.4218709432763</v>
      </c>
      <c r="O50" s="243">
        <v>-5832.7852637798132</v>
      </c>
    </row>
    <row r="51" spans="1:15" x14ac:dyDescent="0.2">
      <c r="A51" s="230"/>
      <c r="B51" s="107" t="s">
        <v>48</v>
      </c>
      <c r="C51" s="108">
        <v>712.68093984781672</v>
      </c>
      <c r="D51" s="96">
        <v>681.69481202834652</v>
      </c>
      <c r="E51" s="96">
        <v>550.00376879559769</v>
      </c>
      <c r="F51" s="96">
        <v>588.73642856993558</v>
      </c>
      <c r="G51" s="96">
        <v>1038.0352819522548</v>
      </c>
      <c r="H51" s="96">
        <v>1123.2471334557981</v>
      </c>
      <c r="I51" s="96">
        <v>1247.1916447336794</v>
      </c>
      <c r="J51" s="96">
        <v>1192.9659210496063</v>
      </c>
      <c r="K51" s="96">
        <v>1022.5422180425197</v>
      </c>
      <c r="L51" s="96">
        <v>704.93440789294914</v>
      </c>
      <c r="M51" s="96">
        <v>519.01764097612738</v>
      </c>
      <c r="N51" s="96">
        <v>743.66706766728703</v>
      </c>
      <c r="O51" s="109">
        <v>10124.717265011919</v>
      </c>
    </row>
    <row r="52" spans="1:15" x14ac:dyDescent="0.2">
      <c r="A52" s="230"/>
      <c r="B52" s="107" t="s">
        <v>86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">
      <c r="A53" s="230"/>
      <c r="B53" s="107" t="s">
        <v>88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">
      <c r="A54" s="97" t="s">
        <v>21</v>
      </c>
      <c r="B54" s="97" t="s">
        <v>69</v>
      </c>
      <c r="C54" s="104">
        <v>10189.643621857307</v>
      </c>
      <c r="D54" s="105">
        <v>9697.5601078662676</v>
      </c>
      <c r="E54" s="105">
        <v>8611.4614948431881</v>
      </c>
      <c r="F54" s="105">
        <v>8418.1429714895658</v>
      </c>
      <c r="G54" s="105">
        <v>12238.819969405708</v>
      </c>
      <c r="H54" s="105">
        <v>14080.618264629311</v>
      </c>
      <c r="I54" s="105">
        <v>14867.951887014975</v>
      </c>
      <c r="J54" s="105">
        <v>14590.276189834316</v>
      </c>
      <c r="K54" s="105">
        <v>13701.010982407652</v>
      </c>
      <c r="L54" s="105">
        <v>9701.0749901090603</v>
      </c>
      <c r="M54" s="105">
        <v>9001.6134237932274</v>
      </c>
      <c r="N54" s="105">
        <v>11071.879064798384</v>
      </c>
      <c r="O54" s="106">
        <v>136170.05296804896</v>
      </c>
    </row>
    <row r="55" spans="1:15" x14ac:dyDescent="0.2">
      <c r="A55" s="230"/>
      <c r="B55" s="107" t="s">
        <v>25</v>
      </c>
      <c r="C55" s="241">
        <v>-12267.552515303789</v>
      </c>
      <c r="D55" s="242">
        <v>-11675.121555613367</v>
      </c>
      <c r="E55" s="242">
        <v>-10367.541794582368</v>
      </c>
      <c r="F55" s="242">
        <v>-10134.801060418273</v>
      </c>
      <c r="G55" s="242">
        <v>-14734.604297443184</v>
      </c>
      <c r="H55" s="242">
        <v>-16951.98874657019</v>
      </c>
      <c r="I55" s="242">
        <v>-17899.87828207486</v>
      </c>
      <c r="J55" s="242">
        <v>-17565.577954820983</v>
      </c>
      <c r="K55" s="242">
        <v>-16494.97057766615</v>
      </c>
      <c r="L55" s="242">
        <v>-11679.353205325442</v>
      </c>
      <c r="M55" s="242">
        <v>-10837.254912622629</v>
      </c>
      <c r="N55" s="242">
        <v>-13329.696593034474</v>
      </c>
      <c r="O55" s="243">
        <v>-163938.34149547567</v>
      </c>
    </row>
    <row r="56" spans="1:15" x14ac:dyDescent="0.2">
      <c r="A56" s="230"/>
      <c r="B56" s="107" t="s">
        <v>26</v>
      </c>
      <c r="C56" s="241">
        <v>-669.89544161869094</v>
      </c>
      <c r="D56" s="242">
        <v>-637.54450618350052</v>
      </c>
      <c r="E56" s="242">
        <v>-566.14137011583045</v>
      </c>
      <c r="F56" s="242">
        <v>-553.43207405200576</v>
      </c>
      <c r="G56" s="242">
        <v>-804.61397989523346</v>
      </c>
      <c r="H56" s="242">
        <v>-925.69890966694572</v>
      </c>
      <c r="I56" s="242">
        <v>-977.46040636325029</v>
      </c>
      <c r="J56" s="242">
        <v>-959.20523565339272</v>
      </c>
      <c r="K56" s="242">
        <v>-900.74247375979894</v>
      </c>
      <c r="L56" s="242">
        <v>-637.77558429375199</v>
      </c>
      <c r="M56" s="242">
        <v>-591.79104035373132</v>
      </c>
      <c r="N56" s="242">
        <v>-727.89604729178211</v>
      </c>
      <c r="O56" s="243">
        <v>-8952.1970692479154</v>
      </c>
    </row>
    <row r="57" spans="1:15" x14ac:dyDescent="0.2">
      <c r="A57" s="230"/>
      <c r="B57" s="107" t="s">
        <v>27</v>
      </c>
      <c r="C57" s="241">
        <v>-12937.44795692248</v>
      </c>
      <c r="D57" s="242">
        <v>-12312.666061796866</v>
      </c>
      <c r="E57" s="242">
        <v>-10933.683164698199</v>
      </c>
      <c r="F57" s="242">
        <v>-10688.233134470278</v>
      </c>
      <c r="G57" s="242">
        <v>-15539.218277338417</v>
      </c>
      <c r="H57" s="242">
        <v>-17877.687656237136</v>
      </c>
      <c r="I57" s="242">
        <v>-18877.338688438111</v>
      </c>
      <c r="J57" s="242">
        <v>-18524.783190474376</v>
      </c>
      <c r="K57" s="242">
        <v>-17395.713051425948</v>
      </c>
      <c r="L57" s="242">
        <v>-12317.128789619193</v>
      </c>
      <c r="M57" s="242">
        <v>-11429.045952976361</v>
      </c>
      <c r="N57" s="242">
        <v>-14057.592640326257</v>
      </c>
      <c r="O57" s="243">
        <v>-172890.53856472363</v>
      </c>
    </row>
    <row r="58" spans="1:15" x14ac:dyDescent="0.2">
      <c r="A58" s="230"/>
      <c r="B58" s="107" t="s">
        <v>48</v>
      </c>
      <c r="C58" s="108">
        <v>22457.196137161096</v>
      </c>
      <c r="D58" s="96">
        <v>21372.681663479634</v>
      </c>
      <c r="E58" s="96">
        <v>18979.003289425556</v>
      </c>
      <c r="F58" s="96">
        <v>18552.944031907839</v>
      </c>
      <c r="G58" s="96">
        <v>26973.424266848891</v>
      </c>
      <c r="H58" s="96">
        <v>31032.6070111995</v>
      </c>
      <c r="I58" s="96">
        <v>32767.830169089837</v>
      </c>
      <c r="J58" s="96">
        <v>32155.854144655299</v>
      </c>
      <c r="K58" s="96">
        <v>30195.9815600738</v>
      </c>
      <c r="L58" s="96">
        <v>21380.428195434502</v>
      </c>
      <c r="M58" s="96">
        <v>19838.868336415857</v>
      </c>
      <c r="N58" s="96">
        <v>24401.575657832858</v>
      </c>
      <c r="O58" s="109">
        <v>300108.39446352463</v>
      </c>
    </row>
    <row r="59" spans="1:15" x14ac:dyDescent="0.2">
      <c r="A59" s="230"/>
      <c r="B59" s="107" t="s">
        <v>86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">
      <c r="A60" s="230"/>
      <c r="B60" s="107" t="s">
        <v>88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">
      <c r="A61" s="97" t="s">
        <v>22</v>
      </c>
      <c r="B61" s="97" t="s">
        <v>69</v>
      </c>
      <c r="C61" s="104">
        <v>10266.971031198756</v>
      </c>
      <c r="D61" s="105">
        <v>10027.959038688823</v>
      </c>
      <c r="E61" s="105">
        <v>8998.0985415504329</v>
      </c>
      <c r="F61" s="105">
        <v>8555.2233789584989</v>
      </c>
      <c r="G61" s="105">
        <v>10955.887950786211</v>
      </c>
      <c r="H61" s="105">
        <v>12428.623610516537</v>
      </c>
      <c r="I61" s="105">
        <v>12991.004769363439</v>
      </c>
      <c r="J61" s="105">
        <v>12766.052305824678</v>
      </c>
      <c r="K61" s="105">
        <v>11729.162044200702</v>
      </c>
      <c r="L61" s="105">
        <v>8773.1460780116722</v>
      </c>
      <c r="M61" s="105">
        <v>8850.4734873531215</v>
      </c>
      <c r="N61" s="105">
        <v>11947.084743253876</v>
      </c>
      <c r="O61" s="106">
        <v>128289.68697970675</v>
      </c>
    </row>
    <row r="62" spans="1:15" x14ac:dyDescent="0.2">
      <c r="A62" s="230"/>
      <c r="B62" s="107" t="s">
        <v>25</v>
      </c>
      <c r="C62" s="241">
        <v>-12360.648808969427</v>
      </c>
      <c r="D62" s="242">
        <v>-12072.896628548366</v>
      </c>
      <c r="E62" s="242">
        <v>-10833.023262910556</v>
      </c>
      <c r="F62" s="242">
        <v>-10299.835399189176</v>
      </c>
      <c r="G62" s="242">
        <v>-13190.052152536016</v>
      </c>
      <c r="H62" s="242">
        <v>-14963.113381895204</v>
      </c>
      <c r="I62" s="242">
        <v>-15640.177335827111</v>
      </c>
      <c r="J62" s="242">
        <v>-15369.35175425435</v>
      </c>
      <c r="K62" s="242">
        <v>-14121.015089192389</v>
      </c>
      <c r="L62" s="242">
        <v>-10562.197681337791</v>
      </c>
      <c r="M62" s="242">
        <v>-10655.293975003429</v>
      </c>
      <c r="N62" s="242">
        <v>-14383.377371341008</v>
      </c>
      <c r="O62" s="243">
        <v>-154450.98284100485</v>
      </c>
    </row>
    <row r="63" spans="1:15" x14ac:dyDescent="0.2">
      <c r="A63" s="230"/>
      <c r="B63" s="107" t="s">
        <v>26</v>
      </c>
      <c r="C63" s="241">
        <v>-674.97916004422075</v>
      </c>
      <c r="D63" s="242">
        <v>-659.26584854712837</v>
      </c>
      <c r="E63" s="242">
        <v>-591.55996224348007</v>
      </c>
      <c r="F63" s="242">
        <v>-562.44412035180881</v>
      </c>
      <c r="G63" s="242">
        <v>-720.27046965348723</v>
      </c>
      <c r="H63" s="242">
        <v>-817.0921978488069</v>
      </c>
      <c r="I63" s="242">
        <v>-854.06469548902442</v>
      </c>
      <c r="J63" s="242">
        <v>-839.27569643293737</v>
      </c>
      <c r="K63" s="242">
        <v>-771.10765390878623</v>
      </c>
      <c r="L63" s="242">
        <v>-576.77096318739302</v>
      </c>
      <c r="M63" s="242">
        <v>-581.85468161292295</v>
      </c>
      <c r="N63" s="242">
        <v>-785.43449674437056</v>
      </c>
      <c r="O63" s="243">
        <v>-8434.1199460643675</v>
      </c>
    </row>
    <row r="64" spans="1:15" x14ac:dyDescent="0.2">
      <c r="A64" s="230"/>
      <c r="B64" s="107" t="s">
        <v>27</v>
      </c>
      <c r="C64" s="241">
        <v>-13035.627969013647</v>
      </c>
      <c r="D64" s="242">
        <v>-12732.162477095495</v>
      </c>
      <c r="E64" s="242">
        <v>-11424.583225154036</v>
      </c>
      <c r="F64" s="242">
        <v>-10862.279519540985</v>
      </c>
      <c r="G64" s="242">
        <v>-13910.322622189504</v>
      </c>
      <c r="H64" s="242">
        <v>-15780.205579744012</v>
      </c>
      <c r="I64" s="242">
        <v>-16494.242031316135</v>
      </c>
      <c r="J64" s="242">
        <v>-16208.627450687287</v>
      </c>
      <c r="K64" s="242">
        <v>-14892.122743101176</v>
      </c>
      <c r="L64" s="242">
        <v>-11138.968644525185</v>
      </c>
      <c r="M64" s="242">
        <v>-11237.148656616353</v>
      </c>
      <c r="N64" s="242">
        <v>-15168.811868085379</v>
      </c>
      <c r="O64" s="243">
        <v>-162885.10278706922</v>
      </c>
    </row>
    <row r="65" spans="1:15" x14ac:dyDescent="0.2">
      <c r="A65" s="230"/>
      <c r="B65" s="107" t="s">
        <v>48</v>
      </c>
      <c r="C65" s="108">
        <v>22627.619840168183</v>
      </c>
      <c r="D65" s="96">
        <v>22100.855667237189</v>
      </c>
      <c r="E65" s="96">
        <v>19831.121804460989</v>
      </c>
      <c r="F65" s="96">
        <v>18855.058778147675</v>
      </c>
      <c r="G65" s="96">
        <v>24145.940103322228</v>
      </c>
      <c r="H65" s="96">
        <v>27391.736992411741</v>
      </c>
      <c r="I65" s="96">
        <v>28631.18210519055</v>
      </c>
      <c r="J65" s="96">
        <v>28135.404060079029</v>
      </c>
      <c r="K65" s="96">
        <v>25850.177133393092</v>
      </c>
      <c r="L65" s="96">
        <v>19335.343759349464</v>
      </c>
      <c r="M65" s="96">
        <v>19505.767462356551</v>
      </c>
      <c r="N65" s="96">
        <v>26330.462114594884</v>
      </c>
      <c r="O65" s="109">
        <v>282740.66982071154</v>
      </c>
    </row>
    <row r="66" spans="1:15" x14ac:dyDescent="0.2">
      <c r="A66" s="230"/>
      <c r="B66" s="107" t="s">
        <v>86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">
      <c r="A67" s="230"/>
      <c r="B67" s="107" t="s">
        <v>88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">
      <c r="A68" s="97" t="s">
        <v>9</v>
      </c>
      <c r="B68" s="97" t="s">
        <v>69</v>
      </c>
      <c r="C68" s="104">
        <v>175.74411213965689</v>
      </c>
      <c r="D68" s="105">
        <v>172.22922989686376</v>
      </c>
      <c r="E68" s="105">
        <v>158.16970092569122</v>
      </c>
      <c r="F68" s="105">
        <v>119.50599625496669</v>
      </c>
      <c r="G68" s="105">
        <v>147.62505419731181</v>
      </c>
      <c r="H68" s="105">
        <v>172.22922989686376</v>
      </c>
      <c r="I68" s="105">
        <v>189.80364111082946</v>
      </c>
      <c r="J68" s="105">
        <v>165.19946541127749</v>
      </c>
      <c r="K68" s="105">
        <v>165.19946541127749</v>
      </c>
      <c r="L68" s="105">
        <v>137.08040746893238</v>
      </c>
      <c r="M68" s="105">
        <v>158.16970092569122</v>
      </c>
      <c r="N68" s="105">
        <v>214.40781681038143</v>
      </c>
      <c r="O68" s="106">
        <v>1975.3638204497438</v>
      </c>
    </row>
    <row r="69" spans="1:15" x14ac:dyDescent="0.2">
      <c r="A69" s="230"/>
      <c r="B69" s="107" t="s">
        <v>25</v>
      </c>
      <c r="C69" s="241">
        <v>-211.58248560372178</v>
      </c>
      <c r="D69" s="242">
        <v>-207.35083589164734</v>
      </c>
      <c r="E69" s="242">
        <v>-190.42423704334956</v>
      </c>
      <c r="F69" s="242">
        <v>-143.87609021053078</v>
      </c>
      <c r="G69" s="242">
        <v>-177.72928790712629</v>
      </c>
      <c r="H69" s="242">
        <v>-207.35083589164734</v>
      </c>
      <c r="I69" s="242">
        <v>-228.50908445201952</v>
      </c>
      <c r="J69" s="242">
        <v>-198.88753646749845</v>
      </c>
      <c r="K69" s="242">
        <v>-198.88753646749845</v>
      </c>
      <c r="L69" s="242">
        <v>-165.03433877090299</v>
      </c>
      <c r="M69" s="242">
        <v>-190.42423704334956</v>
      </c>
      <c r="N69" s="242">
        <v>-258.13063243654051</v>
      </c>
      <c r="O69" s="243">
        <v>-2378.1871381858323</v>
      </c>
    </row>
    <row r="70" spans="1:15" x14ac:dyDescent="0.2">
      <c r="A70" s="230"/>
      <c r="B70" s="107" t="s">
        <v>26</v>
      </c>
      <c r="C70" s="241">
        <v>-11.553905512567969</v>
      </c>
      <c r="D70" s="242">
        <v>-11.32282740231661</v>
      </c>
      <c r="E70" s="242">
        <v>-10.398514961311173</v>
      </c>
      <c r="F70" s="242">
        <v>-7.8566557485462196</v>
      </c>
      <c r="G70" s="242">
        <v>-9.7052806305570947</v>
      </c>
      <c r="H70" s="242">
        <v>-11.32282740231661</v>
      </c>
      <c r="I70" s="242">
        <v>-12.478217953573408</v>
      </c>
      <c r="J70" s="242">
        <v>-10.860671181813892</v>
      </c>
      <c r="K70" s="242">
        <v>-10.860671181813892</v>
      </c>
      <c r="L70" s="242">
        <v>-9.012046299803016</v>
      </c>
      <c r="M70" s="242">
        <v>-10.398514961311173</v>
      </c>
      <c r="N70" s="242">
        <v>-14.095764725332922</v>
      </c>
      <c r="O70" s="243">
        <v>-129.86589796126398</v>
      </c>
    </row>
    <row r="71" spans="1:15" x14ac:dyDescent="0.2">
      <c r="A71" s="230"/>
      <c r="B71" s="107" t="s">
        <v>27</v>
      </c>
      <c r="C71" s="241">
        <v>-223.13639111628976</v>
      </c>
      <c r="D71" s="242">
        <v>-218.67366329396395</v>
      </c>
      <c r="E71" s="242">
        <v>-200.82275200466074</v>
      </c>
      <c r="F71" s="242">
        <v>-151.73274595907699</v>
      </c>
      <c r="G71" s="242">
        <v>-187.43456853768339</v>
      </c>
      <c r="H71" s="242">
        <v>-218.67366329396395</v>
      </c>
      <c r="I71" s="242">
        <v>-240.98730240559294</v>
      </c>
      <c r="J71" s="242">
        <v>-209.74820764931235</v>
      </c>
      <c r="K71" s="242">
        <v>-209.74820764931235</v>
      </c>
      <c r="L71" s="242">
        <v>-174.04638507070601</v>
      </c>
      <c r="M71" s="242">
        <v>-200.82275200466074</v>
      </c>
      <c r="N71" s="242">
        <v>-272.22639716187342</v>
      </c>
      <c r="O71" s="243">
        <v>-2508.0530361470969</v>
      </c>
    </row>
    <row r="72" spans="1:15" x14ac:dyDescent="0.2">
      <c r="A72" s="230"/>
      <c r="B72" s="107" t="s">
        <v>48</v>
      </c>
      <c r="C72" s="108">
        <v>387.32659774337867</v>
      </c>
      <c r="D72" s="96">
        <v>379.58006578851109</v>
      </c>
      <c r="E72" s="96">
        <v>348.59393796904078</v>
      </c>
      <c r="F72" s="96">
        <v>263.38208646549748</v>
      </c>
      <c r="G72" s="96">
        <v>325.3543421044381</v>
      </c>
      <c r="H72" s="96">
        <v>379.58006578851109</v>
      </c>
      <c r="I72" s="96">
        <v>418.31272556284898</v>
      </c>
      <c r="J72" s="96">
        <v>364.08700187877594</v>
      </c>
      <c r="K72" s="96">
        <v>364.08700187877594</v>
      </c>
      <c r="L72" s="96">
        <v>302.11474623983537</v>
      </c>
      <c r="M72" s="96">
        <v>348.59393796904078</v>
      </c>
      <c r="N72" s="96">
        <v>472.53844924692197</v>
      </c>
      <c r="O72" s="109">
        <v>4353.5509586355756</v>
      </c>
    </row>
    <row r="73" spans="1:15" x14ac:dyDescent="0.2">
      <c r="A73" s="230"/>
      <c r="B73" s="107" t="s">
        <v>86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">
      <c r="A74" s="230"/>
      <c r="B74" s="107" t="s">
        <v>88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">
      <c r="A75" s="97" t="s">
        <v>53</v>
      </c>
      <c r="B75" s="97" t="s">
        <v>69</v>
      </c>
      <c r="C75" s="104">
        <v>425.30075137796973</v>
      </c>
      <c r="D75" s="105">
        <v>383.12216446445206</v>
      </c>
      <c r="E75" s="105">
        <v>333.91381306534811</v>
      </c>
      <c r="F75" s="105">
        <v>326.88404857976184</v>
      </c>
      <c r="G75" s="105">
        <v>439.36028034914227</v>
      </c>
      <c r="H75" s="105">
        <v>558.86627660410898</v>
      </c>
      <c r="I75" s="105">
        <v>618.61927473159233</v>
      </c>
      <c r="J75" s="105">
        <v>586.98533454645406</v>
      </c>
      <c r="K75" s="105">
        <v>537.77698314735017</v>
      </c>
      <c r="L75" s="105">
        <v>365.54775325048638</v>
      </c>
      <c r="M75" s="105">
        <v>365.54775325048638</v>
      </c>
      <c r="N75" s="105">
        <v>488.56863174824622</v>
      </c>
      <c r="O75" s="106">
        <v>5430.4930651153982</v>
      </c>
    </row>
    <row r="76" spans="1:15" x14ac:dyDescent="0.2">
      <c r="A76" s="230"/>
      <c r="B76" s="107" t="s">
        <v>25</v>
      </c>
      <c r="C76" s="108">
        <v>-512.02961516100663</v>
      </c>
      <c r="D76" s="96">
        <v>-461.24981861611349</v>
      </c>
      <c r="E76" s="96">
        <v>-402.00672264707134</v>
      </c>
      <c r="F76" s="96">
        <v>-393.54342322292246</v>
      </c>
      <c r="G76" s="96">
        <v>-528.9562140093044</v>
      </c>
      <c r="H76" s="96">
        <v>-672.83230421983524</v>
      </c>
      <c r="I76" s="96">
        <v>-744.77034932510071</v>
      </c>
      <c r="J76" s="96">
        <v>-706.68550191643078</v>
      </c>
      <c r="K76" s="96">
        <v>-647.44240594738858</v>
      </c>
      <c r="L76" s="96">
        <v>-440.09157005574127</v>
      </c>
      <c r="M76" s="96">
        <v>-440.09157005574127</v>
      </c>
      <c r="N76" s="96">
        <v>-588.19930997834649</v>
      </c>
      <c r="O76" s="109">
        <v>-6537.8988051550041</v>
      </c>
    </row>
    <row r="77" spans="1:15" x14ac:dyDescent="0.2">
      <c r="A77" s="230"/>
      <c r="B77" s="107" t="s">
        <v>26</v>
      </c>
      <c r="C77" s="108">
        <v>-27.960451340414487</v>
      </c>
      <c r="D77" s="96">
        <v>-25.187514017398172</v>
      </c>
      <c r="E77" s="96">
        <v>-21.952420473879144</v>
      </c>
      <c r="F77" s="96">
        <v>-21.490264253376424</v>
      </c>
      <c r="G77" s="96">
        <v>-28.884763781419924</v>
      </c>
      <c r="H77" s="96">
        <v>-36.741419529966144</v>
      </c>
      <c r="I77" s="96">
        <v>-40.669747404239253</v>
      </c>
      <c r="J77" s="96">
        <v>-38.590044411977019</v>
      </c>
      <c r="K77" s="96">
        <v>-35.354950868457983</v>
      </c>
      <c r="L77" s="96">
        <v>-24.032123466141375</v>
      </c>
      <c r="M77" s="96">
        <v>-24.032123466141375</v>
      </c>
      <c r="N77" s="96">
        <v>-32.119857324938955</v>
      </c>
      <c r="O77" s="109">
        <v>-357.01568033835031</v>
      </c>
    </row>
    <row r="78" spans="1:15" x14ac:dyDescent="0.2">
      <c r="A78" s="230"/>
      <c r="B78" s="107" t="s">
        <v>27</v>
      </c>
      <c r="C78" s="108">
        <v>-539.9900665014211</v>
      </c>
      <c r="D78" s="96">
        <v>-486.43733263351169</v>
      </c>
      <c r="E78" s="96">
        <v>-423.9591431209505</v>
      </c>
      <c r="F78" s="96">
        <v>-415.03368747629889</v>
      </c>
      <c r="G78" s="96">
        <v>-557.84097779072431</v>
      </c>
      <c r="H78" s="96">
        <v>-709.57372374980139</v>
      </c>
      <c r="I78" s="96">
        <v>-785.44009672933998</v>
      </c>
      <c r="J78" s="96">
        <v>-745.27554632840781</v>
      </c>
      <c r="K78" s="96">
        <v>-682.79735681584657</v>
      </c>
      <c r="L78" s="96">
        <v>-464.12369352188267</v>
      </c>
      <c r="M78" s="96">
        <v>-464.12369352188267</v>
      </c>
      <c r="N78" s="96">
        <v>-620.31916730328544</v>
      </c>
      <c r="O78" s="109">
        <v>-6894.9144854933538</v>
      </c>
    </row>
    <row r="79" spans="1:15" x14ac:dyDescent="0.2">
      <c r="A79" s="230"/>
      <c r="B79" s="107" t="s">
        <v>48</v>
      </c>
      <c r="C79" s="108">
        <v>937.33036653897636</v>
      </c>
      <c r="D79" s="96">
        <v>844.37198308056554</v>
      </c>
      <c r="E79" s="96">
        <v>735.92053571241945</v>
      </c>
      <c r="F79" s="96">
        <v>720.42747180268429</v>
      </c>
      <c r="G79" s="96">
        <v>968.31649435844668</v>
      </c>
      <c r="H79" s="96">
        <v>1231.6985808239442</v>
      </c>
      <c r="I79" s="96">
        <v>1363.389624056693</v>
      </c>
      <c r="J79" s="96">
        <v>1293.6708364628848</v>
      </c>
      <c r="K79" s="96">
        <v>1185.2193890947387</v>
      </c>
      <c r="L79" s="96">
        <v>805.63932330622765</v>
      </c>
      <c r="M79" s="96">
        <v>805.63932330622765</v>
      </c>
      <c r="N79" s="96">
        <v>1076.7679417265927</v>
      </c>
      <c r="O79" s="109">
        <v>11968.391870270403</v>
      </c>
    </row>
    <row r="80" spans="1:15" x14ac:dyDescent="0.2">
      <c r="A80" s="230"/>
      <c r="B80" s="107" t="s">
        <v>86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">
      <c r="A81" s="230"/>
      <c r="B81" s="107" t="s">
        <v>88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">
      <c r="A82" s="97" t="s">
        <v>54</v>
      </c>
      <c r="B82" s="97" t="s">
        <v>69</v>
      </c>
      <c r="C82" s="104">
        <v>28.119057942345105</v>
      </c>
      <c r="D82" s="105">
        <v>38.66370467072452</v>
      </c>
      <c r="E82" s="105">
        <v>31.633940185138243</v>
      </c>
      <c r="F82" s="105">
        <v>38.66370467072452</v>
      </c>
      <c r="G82" s="105">
        <v>38.66370467072452</v>
      </c>
      <c r="H82" s="105">
        <v>49.208351399103933</v>
      </c>
      <c r="I82" s="105">
        <v>45.693469156310798</v>
      </c>
      <c r="J82" s="105">
        <v>45.693469156310798</v>
      </c>
      <c r="K82" s="105">
        <v>45.693469156310798</v>
      </c>
      <c r="L82" s="105">
        <v>35.148822427931378</v>
      </c>
      <c r="M82" s="105">
        <v>31.633940185138243</v>
      </c>
      <c r="N82" s="105">
        <v>31.633940185138243</v>
      </c>
      <c r="O82" s="106">
        <v>460.4495738059012</v>
      </c>
    </row>
    <row r="83" spans="1:15" x14ac:dyDescent="0.2">
      <c r="A83" s="230"/>
      <c r="B83" s="107" t="s">
        <v>25</v>
      </c>
      <c r="C83" s="108">
        <v>-33.853197696595487</v>
      </c>
      <c r="D83" s="96">
        <v>-46.548146832818794</v>
      </c>
      <c r="E83" s="96">
        <v>-38.084847408669916</v>
      </c>
      <c r="F83" s="96">
        <v>-46.548146832818794</v>
      </c>
      <c r="G83" s="96">
        <v>-46.548146832818794</v>
      </c>
      <c r="H83" s="96">
        <v>-59.243095969042102</v>
      </c>
      <c r="I83" s="96">
        <v>-55.011446256967659</v>
      </c>
      <c r="J83" s="96">
        <v>-55.011446256967659</v>
      </c>
      <c r="K83" s="96">
        <v>-55.011446256967659</v>
      </c>
      <c r="L83" s="96">
        <v>-42.316497120744359</v>
      </c>
      <c r="M83" s="96">
        <v>-38.084847408669916</v>
      </c>
      <c r="N83" s="96">
        <v>-38.084847408669916</v>
      </c>
      <c r="O83" s="109">
        <v>-554.34611228175106</v>
      </c>
    </row>
    <row r="84" spans="1:15" x14ac:dyDescent="0.2">
      <c r="A84" s="230"/>
      <c r="B84" s="107" t="s">
        <v>26</v>
      </c>
      <c r="C84" s="108">
        <v>-1.8486248820108753</v>
      </c>
      <c r="D84" s="96">
        <v>-2.5418592127649533</v>
      </c>
      <c r="E84" s="96">
        <v>-2.0797029922622348</v>
      </c>
      <c r="F84" s="96">
        <v>-2.5418592127649533</v>
      </c>
      <c r="G84" s="96">
        <v>-2.5418592127649533</v>
      </c>
      <c r="H84" s="96">
        <v>-3.2350935435190311</v>
      </c>
      <c r="I84" s="96">
        <v>-3.0040154332676718</v>
      </c>
      <c r="J84" s="96">
        <v>-3.0040154332676718</v>
      </c>
      <c r="K84" s="96">
        <v>-3.0040154332676718</v>
      </c>
      <c r="L84" s="96">
        <v>-2.310781102513594</v>
      </c>
      <c r="M84" s="96">
        <v>-2.0797029922622348</v>
      </c>
      <c r="N84" s="96">
        <v>-2.0797029922622348</v>
      </c>
      <c r="O84" s="109">
        <v>-30.271232442928078</v>
      </c>
    </row>
    <row r="85" spans="1:15" x14ac:dyDescent="0.2">
      <c r="A85" s="230"/>
      <c r="B85" s="107" t="s">
        <v>27</v>
      </c>
      <c r="C85" s="108">
        <v>-35.701822578606361</v>
      </c>
      <c r="D85" s="96">
        <v>-49.090006045583749</v>
      </c>
      <c r="E85" s="96">
        <v>-40.16455040093215</v>
      </c>
      <c r="F85" s="96">
        <v>-49.090006045583749</v>
      </c>
      <c r="G85" s="96">
        <v>-49.090006045583749</v>
      </c>
      <c r="H85" s="96">
        <v>-62.47818951256113</v>
      </c>
      <c r="I85" s="96">
        <v>-58.015461690235334</v>
      </c>
      <c r="J85" s="96">
        <v>-58.015461690235334</v>
      </c>
      <c r="K85" s="96">
        <v>-58.015461690235334</v>
      </c>
      <c r="L85" s="96">
        <v>-44.627278223257953</v>
      </c>
      <c r="M85" s="96">
        <v>-40.16455040093215</v>
      </c>
      <c r="N85" s="96">
        <v>-40.16455040093215</v>
      </c>
      <c r="O85" s="109">
        <v>-584.61734472467913</v>
      </c>
    </row>
    <row r="86" spans="1:15" x14ac:dyDescent="0.2">
      <c r="A86" s="230"/>
      <c r="B86" s="107" t="s">
        <v>48</v>
      </c>
      <c r="C86" s="108">
        <v>61.972255638940588</v>
      </c>
      <c r="D86" s="96">
        <v>85.211851503543315</v>
      </c>
      <c r="E86" s="96">
        <v>69.718787593808159</v>
      </c>
      <c r="F86" s="96">
        <v>85.211851503543315</v>
      </c>
      <c r="G86" s="96">
        <v>85.211851503543315</v>
      </c>
      <c r="H86" s="96">
        <v>108.45144736814603</v>
      </c>
      <c r="I86" s="96">
        <v>100.70491541327846</v>
      </c>
      <c r="J86" s="96">
        <v>100.70491541327846</v>
      </c>
      <c r="K86" s="96">
        <v>100.70491541327846</v>
      </c>
      <c r="L86" s="96">
        <v>77.465319548675737</v>
      </c>
      <c r="M86" s="96">
        <v>69.718787593808159</v>
      </c>
      <c r="N86" s="96">
        <v>69.718787593808159</v>
      </c>
      <c r="O86" s="109">
        <v>1014.7956860876523</v>
      </c>
    </row>
    <row r="87" spans="1:15" x14ac:dyDescent="0.2">
      <c r="A87" s="230"/>
      <c r="B87" s="107" t="s">
        <v>86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">
      <c r="A88" s="230"/>
      <c r="B88" s="107" t="s">
        <v>88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">
      <c r="A89" s="97" t="s">
        <v>55</v>
      </c>
      <c r="B89" s="97" t="s">
        <v>69</v>
      </c>
      <c r="C89" s="104">
        <v>77.327409341449041</v>
      </c>
      <c r="D89" s="105">
        <v>77.327409341449041</v>
      </c>
      <c r="E89" s="105">
        <v>63.267880370276487</v>
      </c>
      <c r="F89" s="105">
        <v>73.812527098655906</v>
      </c>
      <c r="G89" s="105">
        <v>108.96134952658728</v>
      </c>
      <c r="H89" s="105">
        <v>133.56552522613924</v>
      </c>
      <c r="I89" s="105">
        <v>140.59528971172551</v>
      </c>
      <c r="J89" s="105">
        <v>133.56552522613924</v>
      </c>
      <c r="K89" s="105">
        <v>123.02087849775984</v>
      </c>
      <c r="L89" s="105">
        <v>80.842291584242176</v>
      </c>
      <c r="M89" s="105">
        <v>63.267880370276487</v>
      </c>
      <c r="N89" s="105">
        <v>94.90182055541473</v>
      </c>
      <c r="O89" s="106">
        <v>1170.4557868501149</v>
      </c>
    </row>
    <row r="90" spans="1:15" x14ac:dyDescent="0.2">
      <c r="A90" s="230"/>
      <c r="B90" s="107" t="s">
        <v>25</v>
      </c>
      <c r="C90" s="108">
        <v>-93.096293665637589</v>
      </c>
      <c r="D90" s="96">
        <v>-93.096293665637589</v>
      </c>
      <c r="E90" s="96">
        <v>-76.169694817339831</v>
      </c>
      <c r="F90" s="96">
        <v>-88.864643953563146</v>
      </c>
      <c r="G90" s="96">
        <v>-131.1811410743075</v>
      </c>
      <c r="H90" s="96">
        <v>-160.80268905882855</v>
      </c>
      <c r="I90" s="96">
        <v>-169.26598848297743</v>
      </c>
      <c r="J90" s="96">
        <v>-160.80268905882855</v>
      </c>
      <c r="K90" s="96">
        <v>-148.10773992260522</v>
      </c>
      <c r="L90" s="96">
        <v>-97.327943377712003</v>
      </c>
      <c r="M90" s="96">
        <v>-76.169694817339831</v>
      </c>
      <c r="N90" s="96">
        <v>-114.25454222600976</v>
      </c>
      <c r="O90" s="109">
        <v>-1409.1393541207869</v>
      </c>
    </row>
    <row r="91" spans="1:15" x14ac:dyDescent="0.2">
      <c r="A91" s="230"/>
      <c r="B91" s="107" t="s">
        <v>26</v>
      </c>
      <c r="C91" s="108">
        <v>-5.0837184255299066</v>
      </c>
      <c r="D91" s="96">
        <v>-5.0837184255299066</v>
      </c>
      <c r="E91" s="96">
        <v>-4.1594059845244695</v>
      </c>
      <c r="F91" s="96">
        <v>-4.8526403152785473</v>
      </c>
      <c r="G91" s="96">
        <v>-7.1634214177921409</v>
      </c>
      <c r="H91" s="96">
        <v>-8.7809681895516576</v>
      </c>
      <c r="I91" s="96">
        <v>-9.2431244100543761</v>
      </c>
      <c r="J91" s="96">
        <v>-8.7809681895516576</v>
      </c>
      <c r="K91" s="96">
        <v>-8.0877338587975789</v>
      </c>
      <c r="L91" s="96">
        <v>-5.3147965357812659</v>
      </c>
      <c r="M91" s="96">
        <v>-4.1594059845244695</v>
      </c>
      <c r="N91" s="96">
        <v>-6.2391089767867038</v>
      </c>
      <c r="O91" s="109">
        <v>-76.949010713702691</v>
      </c>
    </row>
    <row r="92" spans="1:15" x14ac:dyDescent="0.2">
      <c r="A92" s="230"/>
      <c r="B92" s="107" t="s">
        <v>27</v>
      </c>
      <c r="C92" s="108">
        <v>-98.180012091167498</v>
      </c>
      <c r="D92" s="96">
        <v>-98.180012091167498</v>
      </c>
      <c r="E92" s="96">
        <v>-80.3291008018643</v>
      </c>
      <c r="F92" s="96">
        <v>-93.717284268841695</v>
      </c>
      <c r="G92" s="96">
        <v>-138.34456249209964</v>
      </c>
      <c r="H92" s="96">
        <v>-169.58365724838021</v>
      </c>
      <c r="I92" s="96">
        <v>-178.50911289303181</v>
      </c>
      <c r="J92" s="96">
        <v>-169.58365724838021</v>
      </c>
      <c r="K92" s="96">
        <v>-156.1954737814028</v>
      </c>
      <c r="L92" s="96">
        <v>-102.64273991349327</v>
      </c>
      <c r="M92" s="96">
        <v>-80.3291008018643</v>
      </c>
      <c r="N92" s="96">
        <v>-120.49365120279647</v>
      </c>
      <c r="O92" s="109">
        <v>-1486.0883648344895</v>
      </c>
    </row>
    <row r="93" spans="1:15" x14ac:dyDescent="0.2">
      <c r="A93" s="230"/>
      <c r="B93" s="107" t="s">
        <v>48</v>
      </c>
      <c r="C93" s="108">
        <v>170.42370300708663</v>
      </c>
      <c r="D93" s="96">
        <v>170.42370300708663</v>
      </c>
      <c r="E93" s="96">
        <v>139.43757518761632</v>
      </c>
      <c r="F93" s="96">
        <v>162.67717105221905</v>
      </c>
      <c r="G93" s="96">
        <v>240.14249060089477</v>
      </c>
      <c r="H93" s="96">
        <v>294.36821428496779</v>
      </c>
      <c r="I93" s="96">
        <v>309.86127819470295</v>
      </c>
      <c r="J93" s="96">
        <v>294.36821428496779</v>
      </c>
      <c r="K93" s="96">
        <v>271.12861842036506</v>
      </c>
      <c r="L93" s="96">
        <v>178.17023496195418</v>
      </c>
      <c r="M93" s="96">
        <v>139.43757518761632</v>
      </c>
      <c r="N93" s="96">
        <v>209.15636278142449</v>
      </c>
      <c r="O93" s="109">
        <v>2579.5951409709019</v>
      </c>
    </row>
    <row r="94" spans="1:15" x14ac:dyDescent="0.2">
      <c r="A94" s="230"/>
      <c r="B94" s="107" t="s">
        <v>86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">
      <c r="A95" s="230"/>
      <c r="B95" s="107" t="s">
        <v>88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">
      <c r="A96" s="97" t="s">
        <v>56</v>
      </c>
      <c r="B96" s="97" t="s">
        <v>69</v>
      </c>
      <c r="C96" s="104">
        <v>130.05064298334611</v>
      </c>
      <c r="D96" s="105">
        <v>130.05064298334611</v>
      </c>
      <c r="E96" s="105">
        <v>87.872056069828446</v>
      </c>
      <c r="F96" s="105">
        <v>108.96134952658728</v>
      </c>
      <c r="G96" s="105">
        <v>140.59528971172551</v>
      </c>
      <c r="H96" s="105">
        <v>168.71434765407062</v>
      </c>
      <c r="I96" s="105">
        <v>182.77387662524319</v>
      </c>
      <c r="J96" s="105">
        <v>175.74411213965689</v>
      </c>
      <c r="K96" s="105">
        <v>165.19946541127749</v>
      </c>
      <c r="L96" s="105">
        <v>123.02087849775984</v>
      </c>
      <c r="M96" s="105">
        <v>119.50599625496669</v>
      </c>
      <c r="N96" s="105">
        <v>119.50599625496669</v>
      </c>
      <c r="O96" s="106">
        <v>1651.9946541127749</v>
      </c>
    </row>
    <row r="97" spans="1:15" x14ac:dyDescent="0.2">
      <c r="A97" s="230"/>
      <c r="B97" s="107" t="s">
        <v>25</v>
      </c>
      <c r="C97" s="108">
        <v>-156.57103934675411</v>
      </c>
      <c r="D97" s="96">
        <v>-156.57103934675411</v>
      </c>
      <c r="E97" s="96">
        <v>-105.79124280186089</v>
      </c>
      <c r="F97" s="96">
        <v>-131.1811410743075</v>
      </c>
      <c r="G97" s="96">
        <v>-169.26598848297743</v>
      </c>
      <c r="H97" s="96">
        <v>-203.11918617957289</v>
      </c>
      <c r="I97" s="96">
        <v>-220.04578502787064</v>
      </c>
      <c r="J97" s="96">
        <v>-211.58248560372178</v>
      </c>
      <c r="K97" s="96">
        <v>-198.88753646749845</v>
      </c>
      <c r="L97" s="96">
        <v>-148.10773992260522</v>
      </c>
      <c r="M97" s="96">
        <v>-143.87609021053078</v>
      </c>
      <c r="N97" s="96">
        <v>-143.87609021053078</v>
      </c>
      <c r="O97" s="109">
        <v>-1988.8753646749847</v>
      </c>
    </row>
    <row r="98" spans="1:15" x14ac:dyDescent="0.2">
      <c r="A98" s="230"/>
      <c r="B98" s="107" t="s">
        <v>26</v>
      </c>
      <c r="C98" s="108">
        <v>-8.5498900793002974</v>
      </c>
      <c r="D98" s="96">
        <v>-8.5498900793002974</v>
      </c>
      <c r="E98" s="96">
        <v>-5.7769527562839844</v>
      </c>
      <c r="F98" s="96">
        <v>-7.1634214177921409</v>
      </c>
      <c r="G98" s="96">
        <v>-9.2431244100543761</v>
      </c>
      <c r="H98" s="96">
        <v>-11.09174929206525</v>
      </c>
      <c r="I98" s="96">
        <v>-12.016061733070687</v>
      </c>
      <c r="J98" s="96">
        <v>-11.553905512567969</v>
      </c>
      <c r="K98" s="96">
        <v>-10.860671181813892</v>
      </c>
      <c r="L98" s="96">
        <v>-8.0877338587975789</v>
      </c>
      <c r="M98" s="96">
        <v>-7.8566557485462196</v>
      </c>
      <c r="N98" s="96">
        <v>-7.8566557485462196</v>
      </c>
      <c r="O98" s="109">
        <v>-108.6067118181389</v>
      </c>
    </row>
    <row r="99" spans="1:15" x14ac:dyDescent="0.2">
      <c r="A99" s="230"/>
      <c r="B99" s="107" t="s">
        <v>27</v>
      </c>
      <c r="C99" s="108">
        <v>-165.1209294260544</v>
      </c>
      <c r="D99" s="96">
        <v>-165.1209294260544</v>
      </c>
      <c r="E99" s="96">
        <v>-111.56819555814488</v>
      </c>
      <c r="F99" s="96">
        <v>-138.34456249209964</v>
      </c>
      <c r="G99" s="96">
        <v>-178.50911289303181</v>
      </c>
      <c r="H99" s="96">
        <v>-214.21093547163815</v>
      </c>
      <c r="I99" s="96">
        <v>-232.06184676094134</v>
      </c>
      <c r="J99" s="96">
        <v>-223.13639111628976</v>
      </c>
      <c r="K99" s="96">
        <v>-209.74820764931235</v>
      </c>
      <c r="L99" s="96">
        <v>-156.1954737814028</v>
      </c>
      <c r="M99" s="96">
        <v>-151.73274595907699</v>
      </c>
      <c r="N99" s="96">
        <v>-151.73274595907699</v>
      </c>
      <c r="O99" s="109">
        <v>-2097.4820764931237</v>
      </c>
    </row>
    <row r="100" spans="1:15" x14ac:dyDescent="0.2">
      <c r="A100" s="230"/>
      <c r="B100" s="107" t="s">
        <v>48</v>
      </c>
      <c r="C100" s="108">
        <v>286.62168233010021</v>
      </c>
      <c r="D100" s="96">
        <v>286.62168233010021</v>
      </c>
      <c r="E100" s="96">
        <v>193.66329887168934</v>
      </c>
      <c r="F100" s="96">
        <v>240.14249060089477</v>
      </c>
      <c r="G100" s="96">
        <v>309.86127819470295</v>
      </c>
      <c r="H100" s="96">
        <v>371.83353383364351</v>
      </c>
      <c r="I100" s="96">
        <v>402.81966165311383</v>
      </c>
      <c r="J100" s="96">
        <v>387.32659774337867</v>
      </c>
      <c r="K100" s="96">
        <v>364.08700187877594</v>
      </c>
      <c r="L100" s="96">
        <v>271.12861842036506</v>
      </c>
      <c r="M100" s="96">
        <v>263.38208646549748</v>
      </c>
      <c r="N100" s="96">
        <v>263.38208646549748</v>
      </c>
      <c r="O100" s="109">
        <v>3640.8700187877594</v>
      </c>
    </row>
    <row r="101" spans="1:15" x14ac:dyDescent="0.2">
      <c r="A101" s="230"/>
      <c r="B101" s="107" t="s">
        <v>86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">
      <c r="A102" s="230"/>
      <c r="B102" s="107" t="s">
        <v>88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">
      <c r="A103" s="97" t="s">
        <v>80</v>
      </c>
      <c r="B103" s="97" t="s">
        <v>69</v>
      </c>
      <c r="C103" s="104">
        <v>572.92580557528152</v>
      </c>
      <c r="D103" s="105">
        <v>544.80674763293644</v>
      </c>
      <c r="E103" s="105">
        <v>495.59839623383249</v>
      </c>
      <c r="F103" s="105">
        <v>323.3691663369687</v>
      </c>
      <c r="G103" s="105">
        <v>460.44957380590108</v>
      </c>
      <c r="H103" s="105">
        <v>534.26210090455697</v>
      </c>
      <c r="I103" s="105">
        <v>523.71745417617763</v>
      </c>
      <c r="J103" s="105">
        <v>481.53886726265989</v>
      </c>
      <c r="K103" s="105">
        <v>478.02398501986676</v>
      </c>
      <c r="L103" s="105">
        <v>319.85428409417557</v>
      </c>
      <c r="M103" s="105">
        <v>397.1816934356246</v>
      </c>
      <c r="N103" s="105">
        <v>738.12527098655903</v>
      </c>
      <c r="O103" s="106">
        <v>5869.8533454645412</v>
      </c>
    </row>
    <row r="104" spans="1:15" x14ac:dyDescent="0.2">
      <c r="A104" s="230"/>
      <c r="B104" s="107" t="s">
        <v>25</v>
      </c>
      <c r="C104" s="108">
        <v>-689.75890306813301</v>
      </c>
      <c r="D104" s="96">
        <v>-655.90570537153746</v>
      </c>
      <c r="E104" s="96">
        <v>-596.66260940249526</v>
      </c>
      <c r="F104" s="96">
        <v>-389.31177351084801</v>
      </c>
      <c r="G104" s="96">
        <v>-554.34611228175106</v>
      </c>
      <c r="H104" s="96">
        <v>-643.21075623531419</v>
      </c>
      <c r="I104" s="96">
        <v>-630.51580709909081</v>
      </c>
      <c r="J104" s="96">
        <v>-579.73601055419761</v>
      </c>
      <c r="K104" s="96">
        <v>-575.50436084212311</v>
      </c>
      <c r="L104" s="96">
        <v>-385.08012379877357</v>
      </c>
      <c r="M104" s="96">
        <v>-478.17641746441126</v>
      </c>
      <c r="N104" s="96">
        <v>-888.64643953563143</v>
      </c>
      <c r="O104" s="109">
        <v>-7066.8550191643071</v>
      </c>
    </row>
    <row r="105" spans="1:15" x14ac:dyDescent="0.2">
      <c r="A105" s="230"/>
      <c r="B105" s="107" t="s">
        <v>26</v>
      </c>
      <c r="C105" s="108">
        <v>-37.665731970971578</v>
      </c>
      <c r="D105" s="96">
        <v>-35.817107088960704</v>
      </c>
      <c r="E105" s="96">
        <v>-32.582013545441676</v>
      </c>
      <c r="F105" s="96">
        <v>-21.259186143125063</v>
      </c>
      <c r="G105" s="96">
        <v>-30.271232442928081</v>
      </c>
      <c r="H105" s="96">
        <v>-35.12387275820663</v>
      </c>
      <c r="I105" s="96">
        <v>-34.43063842745255</v>
      </c>
      <c r="J105" s="96">
        <v>-31.657701104436239</v>
      </c>
      <c r="K105" s="96">
        <v>-31.426622994184878</v>
      </c>
      <c r="L105" s="96">
        <v>-21.028108032873703</v>
      </c>
      <c r="M105" s="96">
        <v>-26.111826458403613</v>
      </c>
      <c r="N105" s="96">
        <v>-48.526403152785477</v>
      </c>
      <c r="O105" s="109">
        <v>-385.90044411977016</v>
      </c>
    </row>
    <row r="106" spans="1:15" x14ac:dyDescent="0.2">
      <c r="A106" s="230"/>
      <c r="B106" s="107" t="s">
        <v>27</v>
      </c>
      <c r="C106" s="108">
        <v>-727.4246350391046</v>
      </c>
      <c r="D106" s="96">
        <v>-691.72281246049818</v>
      </c>
      <c r="E106" s="96">
        <v>-629.24462294793693</v>
      </c>
      <c r="F106" s="96">
        <v>-410.57095965397309</v>
      </c>
      <c r="G106" s="96">
        <v>-584.61734472467913</v>
      </c>
      <c r="H106" s="96">
        <v>-678.33462899352082</v>
      </c>
      <c r="I106" s="96">
        <v>-664.94644552654336</v>
      </c>
      <c r="J106" s="96">
        <v>-611.39371165863383</v>
      </c>
      <c r="K106" s="96">
        <v>-606.93098383630797</v>
      </c>
      <c r="L106" s="96">
        <v>-406.10823183164729</v>
      </c>
      <c r="M106" s="96">
        <v>-504.2882439228149</v>
      </c>
      <c r="N106" s="96">
        <v>-937.17284268841695</v>
      </c>
      <c r="O106" s="109">
        <v>-7452.7554632840765</v>
      </c>
    </row>
    <row r="107" spans="1:15" x14ac:dyDescent="0.2">
      <c r="A107" s="230"/>
      <c r="B107" s="107" t="s">
        <v>48</v>
      </c>
      <c r="C107" s="108">
        <v>1262.6847086434145</v>
      </c>
      <c r="D107" s="96">
        <v>1200.7124530044739</v>
      </c>
      <c r="E107" s="96">
        <v>1092.2610056363278</v>
      </c>
      <c r="F107" s="96">
        <v>712.68093984781672</v>
      </c>
      <c r="G107" s="96">
        <v>1014.7956860876521</v>
      </c>
      <c r="H107" s="96">
        <v>1177.4728571398712</v>
      </c>
      <c r="I107" s="96">
        <v>1154.2332612752684</v>
      </c>
      <c r="J107" s="96">
        <v>1061.2748778168575</v>
      </c>
      <c r="K107" s="96">
        <v>1053.5283458619899</v>
      </c>
      <c r="L107" s="96">
        <v>704.93440789294914</v>
      </c>
      <c r="M107" s="96">
        <v>875.35811090003585</v>
      </c>
      <c r="N107" s="96">
        <v>1626.7717105221905</v>
      </c>
      <c r="O107" s="109">
        <v>12936.708364628848</v>
      </c>
    </row>
    <row r="108" spans="1:15" x14ac:dyDescent="0.2">
      <c r="A108" s="230"/>
      <c r="B108" s="107" t="s">
        <v>86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">
      <c r="A109" s="230"/>
      <c r="B109" s="107" t="s">
        <v>88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">
      <c r="A110" s="97" t="s">
        <v>82</v>
      </c>
      <c r="B110" s="97" t="s">
        <v>69</v>
      </c>
      <c r="C110" s="104">
        <v>168.71434765407062</v>
      </c>
      <c r="D110" s="105">
        <v>158.16970092569122</v>
      </c>
      <c r="E110" s="105">
        <v>133.56552522613924</v>
      </c>
      <c r="F110" s="105">
        <v>91.386938312621595</v>
      </c>
      <c r="G110" s="105">
        <v>151.13993644010495</v>
      </c>
      <c r="H110" s="105">
        <v>189.80364111082946</v>
      </c>
      <c r="I110" s="105">
        <v>200.34828783920887</v>
      </c>
      <c r="J110" s="105">
        <v>189.80364111082946</v>
      </c>
      <c r="K110" s="105">
        <v>186.28875886803633</v>
      </c>
      <c r="L110" s="105">
        <v>108.96134952658728</v>
      </c>
      <c r="M110" s="105">
        <v>133.56552522613924</v>
      </c>
      <c r="N110" s="105">
        <v>203.863170082002</v>
      </c>
      <c r="O110" s="106">
        <v>1915.61082232226</v>
      </c>
    </row>
    <row r="111" spans="1:15" x14ac:dyDescent="0.2">
      <c r="A111" s="230"/>
      <c r="B111" s="107" t="s">
        <v>25</v>
      </c>
      <c r="C111" s="108">
        <v>-203.11918617957289</v>
      </c>
      <c r="D111" s="96">
        <v>-190.42423704334956</v>
      </c>
      <c r="E111" s="96">
        <v>-160.80268905882855</v>
      </c>
      <c r="F111" s="96">
        <v>-110.02289251393532</v>
      </c>
      <c r="G111" s="96">
        <v>-181.96093761920073</v>
      </c>
      <c r="H111" s="96">
        <v>-228.50908445201952</v>
      </c>
      <c r="I111" s="96">
        <v>-241.20403358824285</v>
      </c>
      <c r="J111" s="96">
        <v>-228.50908445201952</v>
      </c>
      <c r="K111" s="96">
        <v>-224.27743473994508</v>
      </c>
      <c r="L111" s="96">
        <v>-131.1811410743075</v>
      </c>
      <c r="M111" s="96">
        <v>-160.80268905882855</v>
      </c>
      <c r="N111" s="96">
        <v>-245.43568330031724</v>
      </c>
      <c r="O111" s="109">
        <v>-2306.249093080567</v>
      </c>
    </row>
    <row r="112" spans="1:15" x14ac:dyDescent="0.2">
      <c r="A112" s="230"/>
      <c r="B112" s="107" t="s">
        <v>26</v>
      </c>
      <c r="C112" s="108">
        <v>-11.09174929206525</v>
      </c>
      <c r="D112" s="96">
        <v>-10.398514961311173</v>
      </c>
      <c r="E112" s="96">
        <v>-8.7809681895516576</v>
      </c>
      <c r="F112" s="96">
        <v>-6.0080308665353437</v>
      </c>
      <c r="G112" s="96">
        <v>-9.9363587408084548</v>
      </c>
      <c r="H112" s="96">
        <v>-12.478217953573408</v>
      </c>
      <c r="I112" s="96">
        <v>-13.171452284327485</v>
      </c>
      <c r="J112" s="96">
        <v>-12.478217953573408</v>
      </c>
      <c r="K112" s="96">
        <v>-12.247139843322048</v>
      </c>
      <c r="L112" s="96">
        <v>-7.1634214177921409</v>
      </c>
      <c r="M112" s="96">
        <v>-8.7809681895516576</v>
      </c>
      <c r="N112" s="96">
        <v>-13.402530394578845</v>
      </c>
      <c r="O112" s="109">
        <v>-125.93757008699086</v>
      </c>
    </row>
    <row r="113" spans="1:15" x14ac:dyDescent="0.2">
      <c r="A113" s="230"/>
      <c r="B113" s="107" t="s">
        <v>27</v>
      </c>
      <c r="C113" s="108">
        <v>-214.21093547163815</v>
      </c>
      <c r="D113" s="96">
        <v>-200.82275200466074</v>
      </c>
      <c r="E113" s="96">
        <v>-169.58365724838021</v>
      </c>
      <c r="F113" s="96">
        <v>-116.03092338047067</v>
      </c>
      <c r="G113" s="96">
        <v>-191.89729636000919</v>
      </c>
      <c r="H113" s="96">
        <v>-240.98730240559294</v>
      </c>
      <c r="I113" s="96">
        <v>-254.37548587257032</v>
      </c>
      <c r="J113" s="96">
        <v>-240.98730240559294</v>
      </c>
      <c r="K113" s="96">
        <v>-236.52457458326714</v>
      </c>
      <c r="L113" s="96">
        <v>-138.34456249209964</v>
      </c>
      <c r="M113" s="96">
        <v>-169.58365724838021</v>
      </c>
      <c r="N113" s="96">
        <v>-258.83821369489607</v>
      </c>
      <c r="O113" s="109">
        <v>-2432.1866631675589</v>
      </c>
    </row>
    <row r="114" spans="1:15" x14ac:dyDescent="0.2">
      <c r="A114" s="230"/>
      <c r="B114" s="107" t="s">
        <v>48</v>
      </c>
      <c r="C114" s="108">
        <v>371.83353383364351</v>
      </c>
      <c r="D114" s="96">
        <v>348.59393796904078</v>
      </c>
      <c r="E114" s="96">
        <v>294.36821428496779</v>
      </c>
      <c r="F114" s="96">
        <v>201.40983082655691</v>
      </c>
      <c r="G114" s="96">
        <v>333.10087405930568</v>
      </c>
      <c r="H114" s="96">
        <v>418.31272556284898</v>
      </c>
      <c r="I114" s="96">
        <v>441.55232142745172</v>
      </c>
      <c r="J114" s="96">
        <v>418.31272556284898</v>
      </c>
      <c r="K114" s="96">
        <v>410.5661936079814</v>
      </c>
      <c r="L114" s="96">
        <v>240.14249060089477</v>
      </c>
      <c r="M114" s="96">
        <v>294.36821428496779</v>
      </c>
      <c r="N114" s="96">
        <v>449.29885338231924</v>
      </c>
      <c r="O114" s="109">
        <v>4221.859915402827</v>
      </c>
    </row>
    <row r="115" spans="1:15" x14ac:dyDescent="0.2">
      <c r="A115" s="230"/>
      <c r="B115" s="107" t="s">
        <v>86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">
      <c r="A116" s="230"/>
      <c r="B116" s="107" t="s">
        <v>88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">
      <c r="A117" s="97" t="s">
        <v>70</v>
      </c>
      <c r="B117" s="98"/>
      <c r="C117" s="104">
        <v>29728.874009544361</v>
      </c>
      <c r="D117" s="105">
        <v>28790.400450718596</v>
      </c>
      <c r="E117" s="105">
        <v>25574.283198562865</v>
      </c>
      <c r="F117" s="105">
        <v>22706.139288443675</v>
      </c>
      <c r="G117" s="105">
        <v>31043.439968348994</v>
      </c>
      <c r="H117" s="105">
        <v>36129.474573670661</v>
      </c>
      <c r="I117" s="105">
        <v>37844.737108153713</v>
      </c>
      <c r="J117" s="105">
        <v>36881.65937362839</v>
      </c>
      <c r="K117" s="105">
        <v>34245.497691533543</v>
      </c>
      <c r="L117" s="105">
        <v>24769.375164963243</v>
      </c>
      <c r="M117" s="105">
        <v>25356.360499509698</v>
      </c>
      <c r="N117" s="105">
        <v>34846.542555051165</v>
      </c>
      <c r="O117" s="106">
        <v>367916.78388212901</v>
      </c>
    </row>
    <row r="118" spans="1:15" x14ac:dyDescent="0.2">
      <c r="A118" s="97" t="s">
        <v>28</v>
      </c>
      <c r="B118" s="98"/>
      <c r="C118" s="244">
        <v>-35791.29326472558</v>
      </c>
      <c r="D118" s="245">
        <v>-34661.442791601694</v>
      </c>
      <c r="E118" s="245">
        <v>-30789.483305053596</v>
      </c>
      <c r="F118" s="245">
        <v>-27336.457140000854</v>
      </c>
      <c r="G118" s="245">
        <v>-37373.930257041422</v>
      </c>
      <c r="H118" s="245">
        <v>-43497.127390413116</v>
      </c>
      <c r="I118" s="245">
        <v>-45562.172449905433</v>
      </c>
      <c r="J118" s="245">
        <v>-44402.700428797041</v>
      </c>
      <c r="K118" s="245">
        <v>-41228.963144741225</v>
      </c>
      <c r="L118" s="245">
        <v>-29820.435520988547</v>
      </c>
      <c r="M118" s="245">
        <v>-30527.121022904987</v>
      </c>
      <c r="N118" s="245">
        <v>-41952.575245505956</v>
      </c>
      <c r="O118" s="246">
        <v>-442943.7019616795</v>
      </c>
    </row>
    <row r="119" spans="1:15" x14ac:dyDescent="0.2">
      <c r="A119" s="97" t="s">
        <v>29</v>
      </c>
      <c r="B119" s="98"/>
      <c r="C119" s="244">
        <v>-1954.4586565059976</v>
      </c>
      <c r="D119" s="245">
        <v>-1892.7608010688843</v>
      </c>
      <c r="E119" s="245">
        <v>-1681.3243301888906</v>
      </c>
      <c r="F119" s="245">
        <v>-1492.7645922237816</v>
      </c>
      <c r="G119" s="245">
        <v>-2040.8818697400059</v>
      </c>
      <c r="H119" s="245">
        <v>-2375.2518952737228</v>
      </c>
      <c r="I119" s="245">
        <v>-2488.0180130763865</v>
      </c>
      <c r="J119" s="245">
        <v>-2424.7026108675136</v>
      </c>
      <c r="K119" s="245">
        <v>-2251.3940281789946</v>
      </c>
      <c r="L119" s="245">
        <v>-1628.4074429413292</v>
      </c>
      <c r="M119" s="245">
        <v>-1666.9974873533065</v>
      </c>
      <c r="N119" s="245">
        <v>-2290.9083850319766</v>
      </c>
      <c r="O119" s="246">
        <v>-24187.87011245079</v>
      </c>
    </row>
    <row r="120" spans="1:15" x14ac:dyDescent="0.2">
      <c r="A120" s="97" t="s">
        <v>30</v>
      </c>
      <c r="B120" s="98"/>
      <c r="C120" s="244">
        <v>-37745.751921231575</v>
      </c>
      <c r="D120" s="245">
        <v>-36554.203592670587</v>
      </c>
      <c r="E120" s="245">
        <v>-32470.807635242487</v>
      </c>
      <c r="F120" s="245">
        <v>-28829.221732224632</v>
      </c>
      <c r="G120" s="245">
        <v>-39414.812126781413</v>
      </c>
      <c r="H120" s="245">
        <v>-45872.379285686853</v>
      </c>
      <c r="I120" s="245">
        <v>-48050.190462981824</v>
      </c>
      <c r="J120" s="245">
        <v>-46827.403039664561</v>
      </c>
      <c r="K120" s="245">
        <v>-43480.357172920223</v>
      </c>
      <c r="L120" s="245">
        <v>-31448.842963929877</v>
      </c>
      <c r="M120" s="245">
        <v>-32194.118510258286</v>
      </c>
      <c r="N120" s="245">
        <v>-44243.483630537936</v>
      </c>
      <c r="O120" s="246">
        <v>-467131.57207413024</v>
      </c>
    </row>
    <row r="121" spans="1:15" x14ac:dyDescent="0.2">
      <c r="A121" s="97" t="s">
        <v>60</v>
      </c>
      <c r="B121" s="98"/>
      <c r="C121" s="104">
        <v>65520.16727426993</v>
      </c>
      <c r="D121" s="105">
        <v>63451.843242320298</v>
      </c>
      <c r="E121" s="105">
        <v>56363.766503616454</v>
      </c>
      <c r="F121" s="105">
        <v>50042.596428444536</v>
      </c>
      <c r="G121" s="105">
        <v>68417.370225390405</v>
      </c>
      <c r="H121" s="105">
        <v>79626.601964083806</v>
      </c>
      <c r="I121" s="105">
        <v>83406.909558059182</v>
      </c>
      <c r="J121" s="105">
        <v>81284.359802425475</v>
      </c>
      <c r="K121" s="105">
        <v>75474.460836274797</v>
      </c>
      <c r="L121" s="105">
        <v>54589.810685951794</v>
      </c>
      <c r="M121" s="105">
        <v>55883.481522414673</v>
      </c>
      <c r="N121" s="105">
        <v>76799.117800557127</v>
      </c>
      <c r="O121" s="106">
        <v>810860.48584380839</v>
      </c>
    </row>
    <row r="122" spans="1:15" x14ac:dyDescent="0.2">
      <c r="A122" s="97" t="s">
        <v>87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">
      <c r="A123" s="110" t="s">
        <v>89</v>
      </c>
      <c r="B123" s="231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tabSelected="1" zoomScale="80" zoomScaleNormal="80" zoomScaleSheetLayoutView="100" workbookViewId="0">
      <selection activeCell="C19" sqref="C19:D19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1" customWidth="1"/>
    <col min="5" max="5" width="24.28515625" style="1" customWidth="1"/>
    <col min="6" max="6" width="7.7109375" style="161" customWidth="1"/>
    <col min="7" max="7" width="6.7109375" style="161" customWidth="1"/>
    <col min="8" max="8" width="11.140625" style="161" bestFit="1" customWidth="1"/>
    <col min="9" max="9" width="11.28515625" style="162" customWidth="1"/>
    <col min="10" max="10" width="14.85546875" style="161" bestFit="1" customWidth="1"/>
    <col min="11" max="11" width="14.85546875" style="163" bestFit="1" customWidth="1"/>
    <col min="12" max="12" width="14.7109375" style="161" customWidth="1"/>
    <col min="13" max="13" width="13.42578125" style="124" bestFit="1" customWidth="1"/>
    <col min="14" max="15" width="13.42578125" style="124" customWidth="1"/>
    <col min="16" max="16" width="14.85546875" style="124" bestFit="1" customWidth="1"/>
    <col min="17" max="17" width="13.42578125" style="124" customWidth="1"/>
    <col min="18" max="18" width="15.5703125" style="229" customWidth="1"/>
    <col min="19" max="16384" width="8.7109375" style="1"/>
  </cols>
  <sheetData>
    <row r="1" spans="2:19" ht="22.5" x14ac:dyDescent="0.2">
      <c r="B1" s="10" t="s">
        <v>96</v>
      </c>
      <c r="C1" s="114"/>
      <c r="D1" s="115"/>
      <c r="E1" s="114"/>
      <c r="F1" s="116" t="s">
        <v>12</v>
      </c>
      <c r="G1" s="117"/>
      <c r="H1" s="118"/>
      <c r="I1" s="119"/>
      <c r="J1" s="234" t="str">
        <f>"True-Up ARR
(CY"&amp;R1&amp;")"</f>
        <v>True-Up ARR
(CY2022)</v>
      </c>
      <c r="K1" s="234" t="str">
        <f>"Projected ARR
(Jan'"&amp;RIGHT(R$1,2)&amp;" - Dec'"&amp;RIGHT(R$1,2)&amp;")"</f>
        <v>Projected ARR
(Jan'22 - Dec'22)</v>
      </c>
      <c r="L1" s="120" t="s">
        <v>44</v>
      </c>
      <c r="M1" s="121"/>
      <c r="N1" s="52"/>
      <c r="O1" s="52"/>
      <c r="P1" s="52"/>
      <c r="Q1" s="52"/>
      <c r="R1" s="122">
        <v>2022</v>
      </c>
      <c r="S1" s="2"/>
    </row>
    <row r="2" spans="2:19" x14ac:dyDescent="0.2">
      <c r="B2" s="10" t="s">
        <v>51</v>
      </c>
      <c r="C2" s="114"/>
      <c r="D2" s="115"/>
      <c r="E2" s="114"/>
      <c r="F2" s="123">
        <v>1</v>
      </c>
      <c r="G2" s="251"/>
      <c r="H2" s="251"/>
      <c r="I2" s="125" t="s">
        <v>6</v>
      </c>
      <c r="J2" s="126">
        <v>367916.78388212895</v>
      </c>
      <c r="K2" s="126">
        <v>757889.70033642394</v>
      </c>
      <c r="L2" s="247"/>
      <c r="M2" s="128"/>
      <c r="N2" s="52"/>
      <c r="O2" s="52"/>
      <c r="P2" s="52"/>
      <c r="Q2" s="52"/>
      <c r="R2" s="1"/>
    </row>
    <row r="3" spans="2:19" x14ac:dyDescent="0.2">
      <c r="B3" s="10" t="str">
        <f>"for CY"&amp;R1&amp;" SPP Network Transmission Service"</f>
        <v>for CY2022 SPP Network Transmission Service</v>
      </c>
      <c r="C3" s="114"/>
      <c r="D3" s="115"/>
      <c r="E3" s="114"/>
      <c r="F3" s="123"/>
      <c r="G3" s="251"/>
      <c r="H3" s="251"/>
      <c r="I3" s="125" t="s">
        <v>10</v>
      </c>
      <c r="J3" s="129">
        <v>3.5148822427931381</v>
      </c>
      <c r="K3" s="129">
        <v>7.7465319548675735</v>
      </c>
      <c r="L3" s="150" t="str">
        <f>"Inv. Jan-Dec'"&amp;RIGHT(R1,2)</f>
        <v>Inv. Jan-Dec'22</v>
      </c>
      <c r="M3" s="128"/>
      <c r="N3" s="52"/>
      <c r="O3" s="52"/>
      <c r="P3" s="52"/>
      <c r="Q3" s="52"/>
      <c r="R3" s="1"/>
    </row>
    <row r="4" spans="2:19" x14ac:dyDescent="0.2">
      <c r="B4" s="9"/>
      <c r="C4" s="114"/>
      <c r="D4" s="115"/>
      <c r="E4" s="114"/>
      <c r="F4" s="123"/>
      <c r="G4" s="124"/>
      <c r="H4" s="124"/>
      <c r="I4" s="51"/>
      <c r="J4" s="124"/>
      <c r="K4" s="130"/>
      <c r="L4" s="124"/>
      <c r="M4" s="131"/>
      <c r="R4" s="1"/>
    </row>
    <row r="5" spans="2:19" x14ac:dyDescent="0.2">
      <c r="B5" s="9"/>
      <c r="C5" s="114"/>
      <c r="D5" s="115"/>
      <c r="E5" s="114"/>
      <c r="F5" s="123"/>
      <c r="G5" s="124"/>
      <c r="H5" s="124"/>
      <c r="I5" s="125"/>
      <c r="J5" s="124"/>
      <c r="K5" s="126">
        <v>0</v>
      </c>
      <c r="L5" s="232"/>
      <c r="M5" s="132"/>
      <c r="N5" s="133"/>
      <c r="O5" s="133"/>
      <c r="P5" s="133"/>
      <c r="Q5" s="133"/>
      <c r="R5" s="134"/>
    </row>
    <row r="6" spans="2:19" x14ac:dyDescent="0.2">
      <c r="B6" s="10" t="s">
        <v>23</v>
      </c>
      <c r="D6" s="115"/>
      <c r="E6" s="114"/>
      <c r="F6" s="135"/>
      <c r="G6" s="136"/>
      <c r="H6" s="137"/>
      <c r="I6" s="138"/>
      <c r="J6" s="139"/>
      <c r="K6" s="129">
        <v>0</v>
      </c>
      <c r="L6" s="140"/>
      <c r="M6" s="132"/>
      <c r="N6" s="133"/>
      <c r="O6" s="133"/>
      <c r="P6" s="133"/>
      <c r="Q6" s="133"/>
      <c r="R6" s="1"/>
    </row>
    <row r="7" spans="2:19" x14ac:dyDescent="0.2">
      <c r="B7" s="9" t="s">
        <v>76</v>
      </c>
      <c r="D7" s="115"/>
      <c r="E7" s="114"/>
      <c r="F7" s="123"/>
      <c r="G7" s="252"/>
      <c r="H7" s="251"/>
      <c r="I7" s="125"/>
      <c r="J7" s="141"/>
      <c r="K7" s="127"/>
      <c r="L7" s="127"/>
      <c r="M7" s="142"/>
      <c r="N7" s="143"/>
      <c r="O7" s="143"/>
      <c r="P7" s="143"/>
      <c r="Q7" s="143"/>
      <c r="R7" s="1"/>
    </row>
    <row r="8" spans="2:19" x14ac:dyDescent="0.2">
      <c r="B8" s="10"/>
      <c r="C8" s="114"/>
      <c r="D8" s="115"/>
      <c r="E8" s="114"/>
      <c r="F8" s="123"/>
      <c r="G8" s="251"/>
      <c r="H8" s="251"/>
      <c r="I8" s="125"/>
      <c r="J8" s="144"/>
      <c r="K8" s="127"/>
      <c r="L8" s="145"/>
      <c r="M8" s="128"/>
      <c r="N8" s="52"/>
      <c r="O8" s="52"/>
      <c r="P8" s="52"/>
      <c r="Q8" s="52"/>
      <c r="R8" s="134"/>
    </row>
    <row r="9" spans="2:19" x14ac:dyDescent="0.2">
      <c r="B9" s="146"/>
      <c r="C9" s="114"/>
      <c r="D9" s="115"/>
      <c r="E9" s="114"/>
      <c r="F9" s="123"/>
      <c r="G9" s="124"/>
      <c r="H9" s="124"/>
      <c r="I9" s="147"/>
      <c r="J9" s="148"/>
      <c r="K9" s="149"/>
      <c r="L9" s="150"/>
      <c r="M9" s="128"/>
      <c r="N9" s="52"/>
      <c r="O9" s="52"/>
      <c r="P9" s="52"/>
      <c r="Q9" s="52"/>
      <c r="R9" s="134"/>
    </row>
    <row r="10" spans="2:19" ht="13.5" thickBot="1" x14ac:dyDescent="0.25">
      <c r="B10" s="9"/>
      <c r="D10" s="1"/>
      <c r="E10" s="151"/>
      <c r="F10" s="152"/>
      <c r="G10" s="153"/>
      <c r="H10" s="154"/>
      <c r="I10" s="155"/>
      <c r="J10" s="156"/>
      <c r="K10" s="156"/>
      <c r="L10" s="157"/>
      <c r="M10" s="158"/>
      <c r="R10" s="159"/>
    </row>
    <row r="11" spans="2:19" x14ac:dyDescent="0.2">
      <c r="B11" s="160"/>
      <c r="E11" s="151"/>
      <c r="L11" s="164"/>
      <c r="M11" s="1"/>
      <c r="N11" s="1"/>
      <c r="O11" s="1"/>
      <c r="P11" s="1"/>
      <c r="Q11" s="1"/>
      <c r="R11" s="134"/>
    </row>
    <row r="12" spans="2:19" x14ac:dyDescent="0.2">
      <c r="E12" s="151"/>
      <c r="L12" s="164"/>
      <c r="R12" s="165" t="s">
        <v>59</v>
      </c>
    </row>
    <row r="13" spans="2:19" x14ac:dyDescent="0.2">
      <c r="E13" s="151"/>
      <c r="F13" s="166"/>
      <c r="G13" s="167"/>
      <c r="H13" s="167"/>
      <c r="I13" s="168" t="s">
        <v>57</v>
      </c>
      <c r="J13" s="169">
        <f t="shared" ref="J13:R13" si="0">SUM(J56:J211)</f>
        <v>97587.190588908619</v>
      </c>
      <c r="K13" s="169">
        <f t="shared" si="0"/>
        <v>215074.71319494344</v>
      </c>
      <c r="L13" s="170">
        <f t="shared" si="0"/>
        <v>-117487.52260603457</v>
      </c>
      <c r="M13" s="171">
        <f t="shared" si="0"/>
        <v>-6415.6526530187421</v>
      </c>
      <c r="N13" s="169">
        <f t="shared" si="0"/>
        <v>-123903.17525905342</v>
      </c>
      <c r="O13" s="169">
        <f t="shared" si="0"/>
        <v>0</v>
      </c>
      <c r="P13" s="169">
        <f t="shared" si="0"/>
        <v>0</v>
      </c>
      <c r="Q13" s="169">
        <f t="shared" si="0"/>
        <v>0</v>
      </c>
      <c r="R13" s="170">
        <f t="shared" si="0"/>
        <v>-123903.17525905342</v>
      </c>
    </row>
    <row r="14" spans="2:19" x14ac:dyDescent="0.2">
      <c r="E14" s="151"/>
      <c r="F14" s="172"/>
      <c r="G14" s="172"/>
      <c r="H14" s="172"/>
      <c r="I14" s="173" t="s">
        <v>58</v>
      </c>
      <c r="J14" s="169">
        <f>SUM(J20:J211)</f>
        <v>367916.78388212877</v>
      </c>
      <c r="K14" s="169">
        <f>SUM(K20:K211)</f>
        <v>810860.48584380839</v>
      </c>
      <c r="L14" s="170">
        <f>SUM(L20:L211)</f>
        <v>-442943.70196167933</v>
      </c>
      <c r="M14" s="233">
        <v>-24187.870112450793</v>
      </c>
      <c r="N14" s="169">
        <f>SUM(N20:N211)</f>
        <v>-467131.57207413024</v>
      </c>
      <c r="O14" s="169">
        <f>SUM(O20:O211)</f>
        <v>0</v>
      </c>
      <c r="P14" s="169">
        <f>SUM(P20:P211)</f>
        <v>0</v>
      </c>
      <c r="Q14" s="169">
        <f>SUM(Q20:Q211)</f>
        <v>0</v>
      </c>
      <c r="R14" s="170">
        <f>SUM(R20:R211)</f>
        <v>-467131.57207413024</v>
      </c>
    </row>
    <row r="15" spans="2:19" x14ac:dyDescent="0.2">
      <c r="B15" s="174" t="s">
        <v>81</v>
      </c>
      <c r="E15" s="151"/>
      <c r="J15" s="162"/>
      <c r="L15" s="164"/>
      <c r="M15" s="248"/>
      <c r="N15" s="175"/>
      <c r="O15" s="175"/>
      <c r="P15" s="175"/>
      <c r="Q15" s="175"/>
      <c r="R15" s="176" t="s">
        <v>20</v>
      </c>
    </row>
    <row r="16" spans="2:19" x14ac:dyDescent="0.2">
      <c r="B16" s="177" t="str">
        <f>"** Actual Trued-Up CY"&amp;R1&amp;" Charge reflects "&amp;R1&amp;" True-UP Rate x MW"</f>
        <v>** Actual Trued-Up CY2022 Charge reflects 2022 True-UP Rate x MW</v>
      </c>
      <c r="E16" s="151"/>
      <c r="F16" s="124"/>
      <c r="G16" s="5"/>
      <c r="J16" s="178"/>
      <c r="L16" s="179" t="s">
        <v>11</v>
      </c>
      <c r="M16" s="175"/>
      <c r="N16" s="175"/>
      <c r="O16" s="175"/>
      <c r="P16" s="175"/>
      <c r="Q16" s="175"/>
      <c r="R16" s="180"/>
    </row>
    <row r="17" spans="1:18" x14ac:dyDescent="0.2">
      <c r="B17" s="181" t="s">
        <v>61</v>
      </c>
      <c r="E17" s="151"/>
      <c r="I17" s="182"/>
      <c r="J17" s="183"/>
      <c r="K17" s="184"/>
      <c r="L17" s="184"/>
      <c r="M17" s="184"/>
      <c r="N17" s="184"/>
      <c r="O17" s="184"/>
      <c r="P17" s="184"/>
      <c r="Q17" s="184"/>
      <c r="R17" s="185"/>
    </row>
    <row r="18" spans="1:18" ht="3.6" customHeight="1" x14ac:dyDescent="0.2">
      <c r="I18" s="186"/>
      <c r="J18" s="183"/>
      <c r="K18" s="186"/>
      <c r="L18" s="186"/>
      <c r="M18" s="187"/>
      <c r="N18" s="187"/>
      <c r="O18" s="187"/>
      <c r="P18" s="187"/>
      <c r="Q18" s="187"/>
      <c r="R18" s="188"/>
    </row>
    <row r="19" spans="1:18" ht="38.25" customHeight="1" x14ac:dyDescent="0.2">
      <c r="B19" s="189" t="s">
        <v>52</v>
      </c>
      <c r="C19" s="249" t="s">
        <v>4</v>
      </c>
      <c r="D19" s="249" t="s">
        <v>5</v>
      </c>
      <c r="E19" s="235" t="s">
        <v>0</v>
      </c>
      <c r="F19" s="236" t="s">
        <v>12</v>
      </c>
      <c r="G19" s="237" t="s">
        <v>1</v>
      </c>
      <c r="H19" s="190" t="s">
        <v>47</v>
      </c>
      <c r="I19" s="190" t="s">
        <v>45</v>
      </c>
      <c r="J19" s="191" t="str">
        <f>"True-Up Charge"</f>
        <v>True-Up Charge</v>
      </c>
      <c r="K19" s="191" t="s">
        <v>46</v>
      </c>
      <c r="L19" s="192" t="s">
        <v>3</v>
      </c>
      <c r="M19" s="193" t="s">
        <v>7</v>
      </c>
      <c r="N19" s="194" t="s">
        <v>98</v>
      </c>
      <c r="O19" s="194" t="s">
        <v>83</v>
      </c>
      <c r="P19" s="194" t="s">
        <v>84</v>
      </c>
      <c r="Q19" s="194" t="s">
        <v>85</v>
      </c>
      <c r="R19" s="195" t="s">
        <v>2</v>
      </c>
    </row>
    <row r="20" spans="1:18" s="52" customFormat="1" ht="12.75" customHeight="1" x14ac:dyDescent="0.2">
      <c r="A20" s="124">
        <v>1</v>
      </c>
      <c r="B20" s="196">
        <f>DATE($R$1,A20,1)</f>
        <v>44562</v>
      </c>
      <c r="C20" s="238">
        <v>44595</v>
      </c>
      <c r="D20" s="238">
        <v>44615</v>
      </c>
      <c r="E20" s="197" t="s">
        <v>21</v>
      </c>
      <c r="F20" s="124">
        <v>9</v>
      </c>
      <c r="G20" s="198">
        <v>2899</v>
      </c>
      <c r="H20" s="199">
        <f>+$K$3</f>
        <v>7.7465319548675735</v>
      </c>
      <c r="I20" s="199">
        <f t="shared" ref="I20:I63" si="1">$J$3</f>
        <v>3.5148822427931381</v>
      </c>
      <c r="J20" s="200">
        <f t="shared" ref="J20:J108" si="2">+$G20*I20</f>
        <v>10189.643621857307</v>
      </c>
      <c r="K20" s="201">
        <f>+$G20*H20</f>
        <v>22457.196137161096</v>
      </c>
      <c r="L20" s="202">
        <f t="shared" ref="L20:L34" si="3">+J20-K20</f>
        <v>-12267.552515303789</v>
      </c>
      <c r="M20" s="203">
        <f>G20/$G$212*$M$14</f>
        <v>-669.89544161869094</v>
      </c>
      <c r="N20" s="204">
        <f>SUM(L20:M20)</f>
        <v>-12937.44795692248</v>
      </c>
      <c r="O20" s="203">
        <v>0</v>
      </c>
      <c r="P20" s="203">
        <v>0</v>
      </c>
      <c r="Q20" s="203">
        <v>0</v>
      </c>
      <c r="R20" s="204">
        <f>+N20-Q20</f>
        <v>-12937.44795692248</v>
      </c>
    </row>
    <row r="21" spans="1:18" x14ac:dyDescent="0.2">
      <c r="A21" s="161">
        <v>2</v>
      </c>
      <c r="B21" s="196">
        <f t="shared" ref="B21:B108" si="4">DATE($R$1,A21,1)</f>
        <v>44593</v>
      </c>
      <c r="C21" s="238">
        <v>44623</v>
      </c>
      <c r="D21" s="238">
        <v>44642</v>
      </c>
      <c r="E21" s="205" t="s">
        <v>21</v>
      </c>
      <c r="F21" s="161">
        <v>9</v>
      </c>
      <c r="G21" s="198">
        <v>2759</v>
      </c>
      <c r="H21" s="199">
        <f t="shared" ref="H21:H84" si="5">+$K$3</f>
        <v>7.7465319548675735</v>
      </c>
      <c r="I21" s="199">
        <f t="shared" si="1"/>
        <v>3.5148822427931381</v>
      </c>
      <c r="J21" s="200">
        <f t="shared" si="2"/>
        <v>9697.5601078662676</v>
      </c>
      <c r="K21" s="201">
        <f t="shared" ref="K21:K33" si="6">+$G21*H21</f>
        <v>21372.681663479634</v>
      </c>
      <c r="L21" s="202">
        <f t="shared" si="3"/>
        <v>-11675.121555613367</v>
      </c>
      <c r="M21" s="203">
        <f t="shared" ref="M21:M84" si="7">G21/$G$212*$M$14</f>
        <v>-637.54450618350052</v>
      </c>
      <c r="N21" s="204">
        <f t="shared" ref="N21:N84" si="8">SUM(L21:M21)</f>
        <v>-12312.666061796866</v>
      </c>
      <c r="O21" s="203">
        <v>0</v>
      </c>
      <c r="P21" s="203">
        <v>0</v>
      </c>
      <c r="Q21" s="203">
        <v>0</v>
      </c>
      <c r="R21" s="204">
        <f t="shared" ref="R21:R84" si="9">+N21-Q21</f>
        <v>-12312.666061796866</v>
      </c>
    </row>
    <row r="22" spans="1:18" x14ac:dyDescent="0.2">
      <c r="A22" s="161">
        <v>3</v>
      </c>
      <c r="B22" s="196">
        <f t="shared" si="4"/>
        <v>44621</v>
      </c>
      <c r="C22" s="238">
        <v>44656</v>
      </c>
      <c r="D22" s="238">
        <v>44676</v>
      </c>
      <c r="E22" s="205" t="s">
        <v>21</v>
      </c>
      <c r="F22" s="161">
        <v>9</v>
      </c>
      <c r="G22" s="198">
        <v>2450</v>
      </c>
      <c r="H22" s="199">
        <f t="shared" si="5"/>
        <v>7.7465319548675735</v>
      </c>
      <c r="I22" s="199">
        <f t="shared" si="1"/>
        <v>3.5148822427931381</v>
      </c>
      <c r="J22" s="200">
        <f t="shared" si="2"/>
        <v>8611.4614948431881</v>
      </c>
      <c r="K22" s="201">
        <f t="shared" si="6"/>
        <v>18979.003289425556</v>
      </c>
      <c r="L22" s="202">
        <f t="shared" si="3"/>
        <v>-10367.541794582368</v>
      </c>
      <c r="M22" s="203">
        <f t="shared" si="7"/>
        <v>-566.14137011583045</v>
      </c>
      <c r="N22" s="204">
        <f t="shared" si="8"/>
        <v>-10933.683164698199</v>
      </c>
      <c r="O22" s="203">
        <v>0</v>
      </c>
      <c r="P22" s="203">
        <v>0</v>
      </c>
      <c r="Q22" s="203">
        <v>0</v>
      </c>
      <c r="R22" s="204">
        <f t="shared" si="9"/>
        <v>-10933.683164698199</v>
      </c>
    </row>
    <row r="23" spans="1:18" x14ac:dyDescent="0.2">
      <c r="A23" s="124">
        <v>4</v>
      </c>
      <c r="B23" s="196">
        <f t="shared" si="4"/>
        <v>44652</v>
      </c>
      <c r="C23" s="238">
        <v>44685</v>
      </c>
      <c r="D23" s="238">
        <v>44705</v>
      </c>
      <c r="E23" s="205" t="s">
        <v>21</v>
      </c>
      <c r="F23" s="161">
        <v>9</v>
      </c>
      <c r="G23" s="198">
        <v>2395</v>
      </c>
      <c r="H23" s="199">
        <f t="shared" si="5"/>
        <v>7.7465319548675735</v>
      </c>
      <c r="I23" s="199">
        <f t="shared" si="1"/>
        <v>3.5148822427931381</v>
      </c>
      <c r="J23" s="200">
        <f t="shared" si="2"/>
        <v>8418.1429714895658</v>
      </c>
      <c r="K23" s="201">
        <f t="shared" si="6"/>
        <v>18552.944031907839</v>
      </c>
      <c r="L23" s="202">
        <f t="shared" si="3"/>
        <v>-10134.801060418273</v>
      </c>
      <c r="M23" s="203">
        <f t="shared" si="7"/>
        <v>-553.43207405200576</v>
      </c>
      <c r="N23" s="204">
        <f t="shared" si="8"/>
        <v>-10688.233134470278</v>
      </c>
      <c r="O23" s="203">
        <v>0</v>
      </c>
      <c r="P23" s="203">
        <v>0</v>
      </c>
      <c r="Q23" s="203">
        <v>0</v>
      </c>
      <c r="R23" s="204">
        <f t="shared" si="9"/>
        <v>-10688.233134470278</v>
      </c>
    </row>
    <row r="24" spans="1:18" ht="12" customHeight="1" x14ac:dyDescent="0.2">
      <c r="A24" s="161">
        <v>5</v>
      </c>
      <c r="B24" s="196">
        <f t="shared" si="4"/>
        <v>44682</v>
      </c>
      <c r="C24" s="238">
        <v>44715</v>
      </c>
      <c r="D24" s="238">
        <v>44735</v>
      </c>
      <c r="E24" s="54" t="s">
        <v>21</v>
      </c>
      <c r="F24" s="161">
        <v>9</v>
      </c>
      <c r="G24" s="198">
        <v>3482</v>
      </c>
      <c r="H24" s="199">
        <f t="shared" si="5"/>
        <v>7.7465319548675735</v>
      </c>
      <c r="I24" s="199">
        <f t="shared" si="1"/>
        <v>3.5148822427931381</v>
      </c>
      <c r="J24" s="200">
        <f t="shared" si="2"/>
        <v>12238.819969405708</v>
      </c>
      <c r="K24" s="201">
        <f t="shared" si="6"/>
        <v>26973.424266848891</v>
      </c>
      <c r="L24" s="202">
        <f t="shared" si="3"/>
        <v>-14734.604297443184</v>
      </c>
      <c r="M24" s="203">
        <f t="shared" si="7"/>
        <v>-804.61397989523346</v>
      </c>
      <c r="N24" s="204">
        <f t="shared" si="8"/>
        <v>-15539.218277338417</v>
      </c>
      <c r="O24" s="203">
        <v>0</v>
      </c>
      <c r="P24" s="203">
        <v>0</v>
      </c>
      <c r="Q24" s="203">
        <v>0</v>
      </c>
      <c r="R24" s="204">
        <f t="shared" si="9"/>
        <v>-15539.218277338417</v>
      </c>
    </row>
    <row r="25" spans="1:18" x14ac:dyDescent="0.2">
      <c r="A25" s="161">
        <v>6</v>
      </c>
      <c r="B25" s="196">
        <f t="shared" si="4"/>
        <v>44713</v>
      </c>
      <c r="C25" s="238">
        <v>44747</v>
      </c>
      <c r="D25" s="238">
        <v>44767</v>
      </c>
      <c r="E25" s="54" t="s">
        <v>21</v>
      </c>
      <c r="F25" s="161">
        <v>9</v>
      </c>
      <c r="G25" s="198">
        <v>4006</v>
      </c>
      <c r="H25" s="199">
        <f t="shared" si="5"/>
        <v>7.7465319548675735</v>
      </c>
      <c r="I25" s="199">
        <f t="shared" si="1"/>
        <v>3.5148822427931381</v>
      </c>
      <c r="J25" s="200">
        <f t="shared" si="2"/>
        <v>14080.618264629311</v>
      </c>
      <c r="K25" s="201">
        <f t="shared" si="6"/>
        <v>31032.6070111995</v>
      </c>
      <c r="L25" s="206">
        <f t="shared" si="3"/>
        <v>-16951.98874657019</v>
      </c>
      <c r="M25" s="203">
        <f t="shared" si="7"/>
        <v>-925.69890966694572</v>
      </c>
      <c r="N25" s="204">
        <f t="shared" si="8"/>
        <v>-17877.687656237136</v>
      </c>
      <c r="O25" s="203">
        <v>0</v>
      </c>
      <c r="P25" s="203">
        <v>0</v>
      </c>
      <c r="Q25" s="203">
        <v>0</v>
      </c>
      <c r="R25" s="204">
        <f t="shared" si="9"/>
        <v>-17877.687656237136</v>
      </c>
    </row>
    <row r="26" spans="1:18" x14ac:dyDescent="0.2">
      <c r="A26" s="124">
        <v>7</v>
      </c>
      <c r="B26" s="196">
        <f t="shared" si="4"/>
        <v>44743</v>
      </c>
      <c r="C26" s="238">
        <v>44776</v>
      </c>
      <c r="D26" s="238">
        <v>44796</v>
      </c>
      <c r="E26" s="54" t="s">
        <v>21</v>
      </c>
      <c r="F26" s="161">
        <v>9</v>
      </c>
      <c r="G26" s="198">
        <v>4230</v>
      </c>
      <c r="H26" s="199">
        <f t="shared" si="5"/>
        <v>7.7465319548675735</v>
      </c>
      <c r="I26" s="199">
        <f t="shared" si="1"/>
        <v>3.5148822427931381</v>
      </c>
      <c r="J26" s="200">
        <f t="shared" si="2"/>
        <v>14867.951887014975</v>
      </c>
      <c r="K26" s="207">
        <f t="shared" si="6"/>
        <v>32767.830169089837</v>
      </c>
      <c r="L26" s="206">
        <f t="shared" si="3"/>
        <v>-17899.87828207486</v>
      </c>
      <c r="M26" s="203">
        <f t="shared" si="7"/>
        <v>-977.46040636325029</v>
      </c>
      <c r="N26" s="204">
        <f t="shared" si="8"/>
        <v>-18877.338688438111</v>
      </c>
      <c r="O26" s="203">
        <v>0</v>
      </c>
      <c r="P26" s="203">
        <v>0</v>
      </c>
      <c r="Q26" s="203">
        <v>0</v>
      </c>
      <c r="R26" s="204">
        <f t="shared" si="9"/>
        <v>-18877.338688438111</v>
      </c>
    </row>
    <row r="27" spans="1:18" x14ac:dyDescent="0.2">
      <c r="A27" s="161">
        <v>8</v>
      </c>
      <c r="B27" s="196">
        <f t="shared" si="4"/>
        <v>44774</v>
      </c>
      <c r="C27" s="238">
        <v>44809</v>
      </c>
      <c r="D27" s="238">
        <v>44827</v>
      </c>
      <c r="E27" s="54" t="s">
        <v>21</v>
      </c>
      <c r="F27" s="161">
        <v>9</v>
      </c>
      <c r="G27" s="198">
        <v>4151</v>
      </c>
      <c r="H27" s="199">
        <f t="shared" si="5"/>
        <v>7.7465319548675735</v>
      </c>
      <c r="I27" s="199">
        <f t="shared" si="1"/>
        <v>3.5148822427931381</v>
      </c>
      <c r="J27" s="200">
        <f t="shared" si="2"/>
        <v>14590.276189834316</v>
      </c>
      <c r="K27" s="207">
        <f t="shared" si="6"/>
        <v>32155.854144655299</v>
      </c>
      <c r="L27" s="206">
        <f t="shared" si="3"/>
        <v>-17565.577954820983</v>
      </c>
      <c r="M27" s="203">
        <f t="shared" si="7"/>
        <v>-959.20523565339272</v>
      </c>
      <c r="N27" s="204">
        <f t="shared" si="8"/>
        <v>-18524.783190474376</v>
      </c>
      <c r="O27" s="203">
        <v>0</v>
      </c>
      <c r="P27" s="203">
        <v>0</v>
      </c>
      <c r="Q27" s="203">
        <v>0</v>
      </c>
      <c r="R27" s="204">
        <f t="shared" si="9"/>
        <v>-18524.783190474376</v>
      </c>
    </row>
    <row r="28" spans="1:18" x14ac:dyDescent="0.2">
      <c r="A28" s="161">
        <v>9</v>
      </c>
      <c r="B28" s="196">
        <f t="shared" si="4"/>
        <v>44805</v>
      </c>
      <c r="C28" s="238">
        <v>44839</v>
      </c>
      <c r="D28" s="238">
        <v>44859</v>
      </c>
      <c r="E28" s="54" t="s">
        <v>21</v>
      </c>
      <c r="F28" s="161">
        <v>9</v>
      </c>
      <c r="G28" s="198">
        <v>3898</v>
      </c>
      <c r="H28" s="199">
        <f t="shared" si="5"/>
        <v>7.7465319548675735</v>
      </c>
      <c r="I28" s="199">
        <f t="shared" si="1"/>
        <v>3.5148822427931381</v>
      </c>
      <c r="J28" s="200">
        <f t="shared" si="2"/>
        <v>13701.010982407652</v>
      </c>
      <c r="K28" s="207">
        <f t="shared" si="6"/>
        <v>30195.9815600738</v>
      </c>
      <c r="L28" s="206">
        <f t="shared" si="3"/>
        <v>-16494.97057766615</v>
      </c>
      <c r="M28" s="203">
        <f t="shared" si="7"/>
        <v>-900.74247375979894</v>
      </c>
      <c r="N28" s="204">
        <f t="shared" si="8"/>
        <v>-17395.713051425948</v>
      </c>
      <c r="O28" s="203">
        <v>0</v>
      </c>
      <c r="P28" s="203">
        <v>0</v>
      </c>
      <c r="Q28" s="203">
        <v>0</v>
      </c>
      <c r="R28" s="204">
        <f t="shared" si="9"/>
        <v>-17395.713051425948</v>
      </c>
    </row>
    <row r="29" spans="1:18" x14ac:dyDescent="0.2">
      <c r="A29" s="124">
        <v>10</v>
      </c>
      <c r="B29" s="196">
        <f t="shared" si="4"/>
        <v>44835</v>
      </c>
      <c r="C29" s="238">
        <v>44868</v>
      </c>
      <c r="D29" s="238">
        <v>44888</v>
      </c>
      <c r="E29" s="54" t="s">
        <v>21</v>
      </c>
      <c r="F29" s="161">
        <v>9</v>
      </c>
      <c r="G29" s="198">
        <v>2760</v>
      </c>
      <c r="H29" s="199">
        <f t="shared" si="5"/>
        <v>7.7465319548675735</v>
      </c>
      <c r="I29" s="199">
        <f t="shared" si="1"/>
        <v>3.5148822427931381</v>
      </c>
      <c r="J29" s="200">
        <f t="shared" si="2"/>
        <v>9701.0749901090603</v>
      </c>
      <c r="K29" s="207">
        <f t="shared" si="6"/>
        <v>21380.428195434502</v>
      </c>
      <c r="L29" s="206">
        <f t="shared" si="3"/>
        <v>-11679.353205325442</v>
      </c>
      <c r="M29" s="203">
        <f t="shared" si="7"/>
        <v>-637.77558429375199</v>
      </c>
      <c r="N29" s="204">
        <f t="shared" si="8"/>
        <v>-12317.128789619193</v>
      </c>
      <c r="O29" s="203">
        <v>0</v>
      </c>
      <c r="P29" s="203">
        <v>0</v>
      </c>
      <c r="Q29" s="203">
        <v>0</v>
      </c>
      <c r="R29" s="204">
        <f t="shared" si="9"/>
        <v>-12317.128789619193</v>
      </c>
    </row>
    <row r="30" spans="1:18" x14ac:dyDescent="0.2">
      <c r="A30" s="161">
        <v>11</v>
      </c>
      <c r="B30" s="196">
        <f t="shared" si="4"/>
        <v>44866</v>
      </c>
      <c r="C30" s="238">
        <v>44900</v>
      </c>
      <c r="D30" s="238">
        <v>44918</v>
      </c>
      <c r="E30" s="54" t="s">
        <v>21</v>
      </c>
      <c r="F30" s="161">
        <v>9</v>
      </c>
      <c r="G30" s="198">
        <v>2561</v>
      </c>
      <c r="H30" s="199">
        <f t="shared" si="5"/>
        <v>7.7465319548675735</v>
      </c>
      <c r="I30" s="199">
        <f t="shared" si="1"/>
        <v>3.5148822427931381</v>
      </c>
      <c r="J30" s="200">
        <f t="shared" si="2"/>
        <v>9001.6134237932274</v>
      </c>
      <c r="K30" s="207">
        <f t="shared" si="6"/>
        <v>19838.868336415857</v>
      </c>
      <c r="L30" s="206">
        <f t="shared" si="3"/>
        <v>-10837.254912622629</v>
      </c>
      <c r="M30" s="203">
        <f t="shared" si="7"/>
        <v>-591.79104035373132</v>
      </c>
      <c r="N30" s="204">
        <f t="shared" si="8"/>
        <v>-11429.045952976361</v>
      </c>
      <c r="O30" s="203">
        <v>0</v>
      </c>
      <c r="P30" s="203">
        <v>0</v>
      </c>
      <c r="Q30" s="203">
        <v>0</v>
      </c>
      <c r="R30" s="204">
        <f t="shared" si="9"/>
        <v>-11429.045952976361</v>
      </c>
    </row>
    <row r="31" spans="1:18" x14ac:dyDescent="0.2">
      <c r="A31" s="161">
        <v>12</v>
      </c>
      <c r="B31" s="196">
        <f t="shared" si="4"/>
        <v>44896</v>
      </c>
      <c r="C31" s="239">
        <v>44930</v>
      </c>
      <c r="D31" s="240">
        <v>44950</v>
      </c>
      <c r="E31" s="54" t="s">
        <v>21</v>
      </c>
      <c r="F31" s="161">
        <v>9</v>
      </c>
      <c r="G31" s="208">
        <v>3150</v>
      </c>
      <c r="H31" s="209">
        <f t="shared" si="5"/>
        <v>7.7465319548675735</v>
      </c>
      <c r="I31" s="209">
        <f t="shared" si="1"/>
        <v>3.5148822427931381</v>
      </c>
      <c r="J31" s="210">
        <f t="shared" si="2"/>
        <v>11071.879064798384</v>
      </c>
      <c r="K31" s="211">
        <f t="shared" si="6"/>
        <v>24401.575657832858</v>
      </c>
      <c r="L31" s="212">
        <f t="shared" si="3"/>
        <v>-13329.696593034474</v>
      </c>
      <c r="M31" s="203">
        <f t="shared" si="7"/>
        <v>-727.89604729178211</v>
      </c>
      <c r="N31" s="204">
        <f t="shared" si="8"/>
        <v>-14057.592640326257</v>
      </c>
      <c r="O31" s="203">
        <v>0</v>
      </c>
      <c r="P31" s="203">
        <v>0</v>
      </c>
      <c r="Q31" s="203">
        <v>0</v>
      </c>
      <c r="R31" s="204">
        <f t="shared" si="9"/>
        <v>-14057.592640326257</v>
      </c>
    </row>
    <row r="32" spans="1:18" x14ac:dyDescent="0.2">
      <c r="A32" s="124">
        <v>1</v>
      </c>
      <c r="B32" s="213">
        <f t="shared" si="4"/>
        <v>44562</v>
      </c>
      <c r="C32" s="214">
        <f t="shared" ref="C32:D43" si="10">+C20</f>
        <v>44595</v>
      </c>
      <c r="D32" s="214">
        <f t="shared" si="10"/>
        <v>44615</v>
      </c>
      <c r="E32" s="215" t="s">
        <v>22</v>
      </c>
      <c r="F32" s="216">
        <v>9</v>
      </c>
      <c r="G32" s="198">
        <v>2921</v>
      </c>
      <c r="H32" s="199">
        <f t="shared" si="5"/>
        <v>7.7465319548675735</v>
      </c>
      <c r="I32" s="199">
        <f t="shared" si="1"/>
        <v>3.5148822427931381</v>
      </c>
      <c r="J32" s="200">
        <f t="shared" si="2"/>
        <v>10266.971031198756</v>
      </c>
      <c r="K32" s="201">
        <f t="shared" si="6"/>
        <v>22627.619840168183</v>
      </c>
      <c r="L32" s="202">
        <f t="shared" si="3"/>
        <v>-12360.648808969427</v>
      </c>
      <c r="M32" s="203">
        <f t="shared" si="7"/>
        <v>-674.97916004422075</v>
      </c>
      <c r="N32" s="204">
        <f t="shared" si="8"/>
        <v>-13035.627969013647</v>
      </c>
      <c r="O32" s="203">
        <v>0</v>
      </c>
      <c r="P32" s="203">
        <v>0</v>
      </c>
      <c r="Q32" s="203">
        <v>0</v>
      </c>
      <c r="R32" s="204">
        <f t="shared" si="9"/>
        <v>-13035.627969013647</v>
      </c>
    </row>
    <row r="33" spans="1:18" x14ac:dyDescent="0.2">
      <c r="A33" s="161">
        <v>2</v>
      </c>
      <c r="B33" s="196">
        <f t="shared" si="4"/>
        <v>44593</v>
      </c>
      <c r="C33" s="217">
        <f t="shared" si="10"/>
        <v>44623</v>
      </c>
      <c r="D33" s="217">
        <f t="shared" si="10"/>
        <v>44642</v>
      </c>
      <c r="E33" s="205" t="s">
        <v>22</v>
      </c>
      <c r="F33" s="161">
        <v>9</v>
      </c>
      <c r="G33" s="198">
        <v>2853</v>
      </c>
      <c r="H33" s="199">
        <f t="shared" si="5"/>
        <v>7.7465319548675735</v>
      </c>
      <c r="I33" s="199">
        <f t="shared" si="1"/>
        <v>3.5148822427931381</v>
      </c>
      <c r="J33" s="200">
        <f t="shared" si="2"/>
        <v>10027.959038688823</v>
      </c>
      <c r="K33" s="201">
        <f t="shared" si="6"/>
        <v>22100.855667237189</v>
      </c>
      <c r="L33" s="202">
        <f t="shared" si="3"/>
        <v>-12072.896628548366</v>
      </c>
      <c r="M33" s="203">
        <f t="shared" si="7"/>
        <v>-659.26584854712837</v>
      </c>
      <c r="N33" s="204">
        <f t="shared" si="8"/>
        <v>-12732.162477095495</v>
      </c>
      <c r="O33" s="203">
        <v>0</v>
      </c>
      <c r="P33" s="203">
        <v>0</v>
      </c>
      <c r="Q33" s="203">
        <v>0</v>
      </c>
      <c r="R33" s="204">
        <f t="shared" si="9"/>
        <v>-12732.162477095495</v>
      </c>
    </row>
    <row r="34" spans="1:18" x14ac:dyDescent="0.2">
      <c r="A34" s="161">
        <v>3</v>
      </c>
      <c r="B34" s="196">
        <f t="shared" si="4"/>
        <v>44621</v>
      </c>
      <c r="C34" s="217">
        <f t="shared" si="10"/>
        <v>44656</v>
      </c>
      <c r="D34" s="217">
        <f t="shared" si="10"/>
        <v>44676</v>
      </c>
      <c r="E34" s="205" t="s">
        <v>22</v>
      </c>
      <c r="F34" s="161">
        <v>9</v>
      </c>
      <c r="G34" s="198">
        <v>2560</v>
      </c>
      <c r="H34" s="199">
        <f t="shared" si="5"/>
        <v>7.7465319548675735</v>
      </c>
      <c r="I34" s="199">
        <f t="shared" si="1"/>
        <v>3.5148822427931381</v>
      </c>
      <c r="J34" s="200">
        <f t="shared" si="2"/>
        <v>8998.0985415504329</v>
      </c>
      <c r="K34" s="201">
        <f t="shared" ref="K34:K93" si="11">+$G34*H34</f>
        <v>19831.121804460989</v>
      </c>
      <c r="L34" s="202">
        <f t="shared" si="3"/>
        <v>-10833.023262910556</v>
      </c>
      <c r="M34" s="203">
        <f t="shared" si="7"/>
        <v>-591.55996224348007</v>
      </c>
      <c r="N34" s="204">
        <f t="shared" si="8"/>
        <v>-11424.583225154036</v>
      </c>
      <c r="O34" s="203">
        <v>0</v>
      </c>
      <c r="P34" s="203">
        <v>0</v>
      </c>
      <c r="Q34" s="203">
        <v>0</v>
      </c>
      <c r="R34" s="204">
        <f t="shared" si="9"/>
        <v>-11424.583225154036</v>
      </c>
    </row>
    <row r="35" spans="1:18" x14ac:dyDescent="0.2">
      <c r="A35" s="124">
        <v>4</v>
      </c>
      <c r="B35" s="196">
        <f t="shared" si="4"/>
        <v>44652</v>
      </c>
      <c r="C35" s="217">
        <f t="shared" si="10"/>
        <v>44685</v>
      </c>
      <c r="D35" s="217">
        <f t="shared" si="10"/>
        <v>44705</v>
      </c>
      <c r="E35" s="205" t="s">
        <v>22</v>
      </c>
      <c r="F35" s="161">
        <v>9</v>
      </c>
      <c r="G35" s="198">
        <v>2434</v>
      </c>
      <c r="H35" s="199">
        <f t="shared" si="5"/>
        <v>7.7465319548675735</v>
      </c>
      <c r="I35" s="199">
        <f t="shared" si="1"/>
        <v>3.5148822427931381</v>
      </c>
      <c r="J35" s="200">
        <f t="shared" si="2"/>
        <v>8555.2233789584989</v>
      </c>
      <c r="K35" s="201">
        <f t="shared" si="11"/>
        <v>18855.058778147675</v>
      </c>
      <c r="L35" s="202">
        <f t="shared" ref="L35:L57" si="12">+J35-K35</f>
        <v>-10299.835399189176</v>
      </c>
      <c r="M35" s="203">
        <f t="shared" si="7"/>
        <v>-562.44412035180881</v>
      </c>
      <c r="N35" s="204">
        <f t="shared" si="8"/>
        <v>-10862.279519540985</v>
      </c>
      <c r="O35" s="203">
        <v>0</v>
      </c>
      <c r="P35" s="203">
        <v>0</v>
      </c>
      <c r="Q35" s="203">
        <v>0</v>
      </c>
      <c r="R35" s="204">
        <f t="shared" si="9"/>
        <v>-10862.279519540985</v>
      </c>
    </row>
    <row r="36" spans="1:18" x14ac:dyDescent="0.2">
      <c r="A36" s="161">
        <v>5</v>
      </c>
      <c r="B36" s="196">
        <f t="shared" si="4"/>
        <v>44682</v>
      </c>
      <c r="C36" s="217">
        <f t="shared" si="10"/>
        <v>44715</v>
      </c>
      <c r="D36" s="217">
        <f t="shared" si="10"/>
        <v>44735</v>
      </c>
      <c r="E36" s="54" t="s">
        <v>22</v>
      </c>
      <c r="F36" s="161">
        <v>9</v>
      </c>
      <c r="G36" s="198">
        <v>3117</v>
      </c>
      <c r="H36" s="199">
        <f t="shared" si="5"/>
        <v>7.7465319548675735</v>
      </c>
      <c r="I36" s="199">
        <f t="shared" si="1"/>
        <v>3.5148822427931381</v>
      </c>
      <c r="J36" s="200">
        <f t="shared" si="2"/>
        <v>10955.887950786211</v>
      </c>
      <c r="K36" s="201">
        <f t="shared" si="11"/>
        <v>24145.940103322228</v>
      </c>
      <c r="L36" s="202">
        <f t="shared" si="12"/>
        <v>-13190.052152536016</v>
      </c>
      <c r="M36" s="203">
        <f t="shared" si="7"/>
        <v>-720.27046965348723</v>
      </c>
      <c r="N36" s="204">
        <f t="shared" si="8"/>
        <v>-13910.322622189504</v>
      </c>
      <c r="O36" s="203">
        <v>0</v>
      </c>
      <c r="P36" s="203">
        <v>0</v>
      </c>
      <c r="Q36" s="203">
        <v>0</v>
      </c>
      <c r="R36" s="204">
        <f t="shared" si="9"/>
        <v>-13910.322622189504</v>
      </c>
    </row>
    <row r="37" spans="1:18" x14ac:dyDescent="0.2">
      <c r="A37" s="161">
        <v>6</v>
      </c>
      <c r="B37" s="196">
        <f t="shared" si="4"/>
        <v>44713</v>
      </c>
      <c r="C37" s="217">
        <f t="shared" si="10"/>
        <v>44747</v>
      </c>
      <c r="D37" s="217">
        <f t="shared" si="10"/>
        <v>44767</v>
      </c>
      <c r="E37" s="54" t="s">
        <v>22</v>
      </c>
      <c r="F37" s="161">
        <v>9</v>
      </c>
      <c r="G37" s="198">
        <v>3536</v>
      </c>
      <c r="H37" s="199">
        <f t="shared" si="5"/>
        <v>7.7465319548675735</v>
      </c>
      <c r="I37" s="199">
        <f t="shared" si="1"/>
        <v>3.5148822427931381</v>
      </c>
      <c r="J37" s="200">
        <f t="shared" si="2"/>
        <v>12428.623610516537</v>
      </c>
      <c r="K37" s="201">
        <f t="shared" si="11"/>
        <v>27391.736992411741</v>
      </c>
      <c r="L37" s="206">
        <f t="shared" si="12"/>
        <v>-14963.113381895204</v>
      </c>
      <c r="M37" s="203">
        <f t="shared" si="7"/>
        <v>-817.0921978488069</v>
      </c>
      <c r="N37" s="204">
        <f t="shared" si="8"/>
        <v>-15780.205579744012</v>
      </c>
      <c r="O37" s="203">
        <v>0</v>
      </c>
      <c r="P37" s="203">
        <v>0</v>
      </c>
      <c r="Q37" s="203">
        <v>0</v>
      </c>
      <c r="R37" s="204">
        <f t="shared" si="9"/>
        <v>-15780.205579744012</v>
      </c>
    </row>
    <row r="38" spans="1:18" x14ac:dyDescent="0.2">
      <c r="A38" s="124">
        <v>7</v>
      </c>
      <c r="B38" s="196">
        <f t="shared" si="4"/>
        <v>44743</v>
      </c>
      <c r="C38" s="217">
        <f t="shared" si="10"/>
        <v>44776</v>
      </c>
      <c r="D38" s="217">
        <f t="shared" si="10"/>
        <v>44796</v>
      </c>
      <c r="E38" s="54" t="s">
        <v>22</v>
      </c>
      <c r="F38" s="161">
        <v>9</v>
      </c>
      <c r="G38" s="198">
        <v>3696</v>
      </c>
      <c r="H38" s="199">
        <f t="shared" si="5"/>
        <v>7.7465319548675735</v>
      </c>
      <c r="I38" s="199">
        <f t="shared" si="1"/>
        <v>3.5148822427931381</v>
      </c>
      <c r="J38" s="200">
        <f t="shared" si="2"/>
        <v>12991.004769363439</v>
      </c>
      <c r="K38" s="207">
        <f t="shared" si="11"/>
        <v>28631.18210519055</v>
      </c>
      <c r="L38" s="206">
        <f t="shared" si="12"/>
        <v>-15640.177335827111</v>
      </c>
      <c r="M38" s="203">
        <f t="shared" si="7"/>
        <v>-854.06469548902442</v>
      </c>
      <c r="N38" s="204">
        <f t="shared" si="8"/>
        <v>-16494.242031316135</v>
      </c>
      <c r="O38" s="203">
        <v>0</v>
      </c>
      <c r="P38" s="203">
        <v>0</v>
      </c>
      <c r="Q38" s="203">
        <v>0</v>
      </c>
      <c r="R38" s="204">
        <f t="shared" si="9"/>
        <v>-16494.242031316135</v>
      </c>
    </row>
    <row r="39" spans="1:18" x14ac:dyDescent="0.2">
      <c r="A39" s="161">
        <v>8</v>
      </c>
      <c r="B39" s="196">
        <f t="shared" si="4"/>
        <v>44774</v>
      </c>
      <c r="C39" s="217">
        <f t="shared" si="10"/>
        <v>44809</v>
      </c>
      <c r="D39" s="217">
        <f t="shared" si="10"/>
        <v>44827</v>
      </c>
      <c r="E39" s="54" t="s">
        <v>22</v>
      </c>
      <c r="F39" s="161">
        <v>9</v>
      </c>
      <c r="G39" s="198">
        <v>3632</v>
      </c>
      <c r="H39" s="199">
        <f t="shared" si="5"/>
        <v>7.7465319548675735</v>
      </c>
      <c r="I39" s="199">
        <f t="shared" si="1"/>
        <v>3.5148822427931381</v>
      </c>
      <c r="J39" s="200">
        <f t="shared" si="2"/>
        <v>12766.052305824678</v>
      </c>
      <c r="K39" s="207">
        <f t="shared" si="11"/>
        <v>28135.404060079029</v>
      </c>
      <c r="L39" s="206">
        <f t="shared" si="12"/>
        <v>-15369.35175425435</v>
      </c>
      <c r="M39" s="203">
        <f t="shared" si="7"/>
        <v>-839.27569643293737</v>
      </c>
      <c r="N39" s="204">
        <f t="shared" si="8"/>
        <v>-16208.627450687287</v>
      </c>
      <c r="O39" s="203">
        <v>0</v>
      </c>
      <c r="P39" s="203">
        <v>0</v>
      </c>
      <c r="Q39" s="203">
        <v>0</v>
      </c>
      <c r="R39" s="204">
        <f t="shared" si="9"/>
        <v>-16208.627450687287</v>
      </c>
    </row>
    <row r="40" spans="1:18" x14ac:dyDescent="0.2">
      <c r="A40" s="161">
        <v>9</v>
      </c>
      <c r="B40" s="196">
        <f t="shared" si="4"/>
        <v>44805</v>
      </c>
      <c r="C40" s="217">
        <f t="shared" si="10"/>
        <v>44839</v>
      </c>
      <c r="D40" s="217">
        <f t="shared" si="10"/>
        <v>44859</v>
      </c>
      <c r="E40" s="54" t="s">
        <v>22</v>
      </c>
      <c r="F40" s="161">
        <v>9</v>
      </c>
      <c r="G40" s="198">
        <v>3337</v>
      </c>
      <c r="H40" s="199">
        <f t="shared" si="5"/>
        <v>7.7465319548675735</v>
      </c>
      <c r="I40" s="199">
        <f t="shared" si="1"/>
        <v>3.5148822427931381</v>
      </c>
      <c r="J40" s="200">
        <f t="shared" si="2"/>
        <v>11729.162044200702</v>
      </c>
      <c r="K40" s="207">
        <f t="shared" si="11"/>
        <v>25850.177133393092</v>
      </c>
      <c r="L40" s="206">
        <f t="shared" si="12"/>
        <v>-14121.015089192389</v>
      </c>
      <c r="M40" s="203">
        <f t="shared" si="7"/>
        <v>-771.10765390878623</v>
      </c>
      <c r="N40" s="204">
        <f t="shared" si="8"/>
        <v>-14892.122743101176</v>
      </c>
      <c r="O40" s="203">
        <v>0</v>
      </c>
      <c r="P40" s="203">
        <v>0</v>
      </c>
      <c r="Q40" s="203">
        <v>0</v>
      </c>
      <c r="R40" s="204">
        <f t="shared" si="9"/>
        <v>-14892.122743101176</v>
      </c>
    </row>
    <row r="41" spans="1:18" x14ac:dyDescent="0.2">
      <c r="A41" s="124">
        <v>10</v>
      </c>
      <c r="B41" s="196">
        <f t="shared" si="4"/>
        <v>44835</v>
      </c>
      <c r="C41" s="217">
        <f t="shared" si="10"/>
        <v>44868</v>
      </c>
      <c r="D41" s="217">
        <f t="shared" si="10"/>
        <v>44888</v>
      </c>
      <c r="E41" s="54" t="s">
        <v>22</v>
      </c>
      <c r="F41" s="161">
        <v>9</v>
      </c>
      <c r="G41" s="198">
        <v>2496</v>
      </c>
      <c r="H41" s="199">
        <f t="shared" si="5"/>
        <v>7.7465319548675735</v>
      </c>
      <c r="I41" s="199">
        <f t="shared" si="1"/>
        <v>3.5148822427931381</v>
      </c>
      <c r="J41" s="200">
        <f t="shared" si="2"/>
        <v>8773.1460780116722</v>
      </c>
      <c r="K41" s="207">
        <f t="shared" si="11"/>
        <v>19335.343759349464</v>
      </c>
      <c r="L41" s="206">
        <f t="shared" si="12"/>
        <v>-10562.197681337791</v>
      </c>
      <c r="M41" s="203">
        <f t="shared" si="7"/>
        <v>-576.77096318739302</v>
      </c>
      <c r="N41" s="204">
        <f t="shared" si="8"/>
        <v>-11138.968644525185</v>
      </c>
      <c r="O41" s="203">
        <v>0</v>
      </c>
      <c r="P41" s="203">
        <v>0</v>
      </c>
      <c r="Q41" s="203">
        <v>0</v>
      </c>
      <c r="R41" s="204">
        <f t="shared" si="9"/>
        <v>-11138.968644525185</v>
      </c>
    </row>
    <row r="42" spans="1:18" x14ac:dyDescent="0.2">
      <c r="A42" s="161">
        <v>11</v>
      </c>
      <c r="B42" s="196">
        <f t="shared" si="4"/>
        <v>44866</v>
      </c>
      <c r="C42" s="217">
        <f t="shared" si="10"/>
        <v>44900</v>
      </c>
      <c r="D42" s="217">
        <f t="shared" si="10"/>
        <v>44918</v>
      </c>
      <c r="E42" s="54" t="s">
        <v>22</v>
      </c>
      <c r="F42" s="161">
        <v>9</v>
      </c>
      <c r="G42" s="198">
        <v>2518</v>
      </c>
      <c r="H42" s="199">
        <f t="shared" si="5"/>
        <v>7.7465319548675735</v>
      </c>
      <c r="I42" s="199">
        <f t="shared" si="1"/>
        <v>3.5148822427931381</v>
      </c>
      <c r="J42" s="200">
        <f t="shared" si="2"/>
        <v>8850.4734873531215</v>
      </c>
      <c r="K42" s="207">
        <f t="shared" si="11"/>
        <v>19505.767462356551</v>
      </c>
      <c r="L42" s="206">
        <f t="shared" si="12"/>
        <v>-10655.293975003429</v>
      </c>
      <c r="M42" s="203">
        <f t="shared" si="7"/>
        <v>-581.85468161292295</v>
      </c>
      <c r="N42" s="204">
        <f t="shared" si="8"/>
        <v>-11237.148656616353</v>
      </c>
      <c r="O42" s="203">
        <v>0</v>
      </c>
      <c r="P42" s="203">
        <v>0</v>
      </c>
      <c r="Q42" s="203">
        <v>0</v>
      </c>
      <c r="R42" s="204">
        <f t="shared" si="9"/>
        <v>-11237.148656616353</v>
      </c>
    </row>
    <row r="43" spans="1:18" x14ac:dyDescent="0.2">
      <c r="A43" s="161">
        <v>12</v>
      </c>
      <c r="B43" s="196">
        <f t="shared" si="4"/>
        <v>44896</v>
      </c>
      <c r="C43" s="217">
        <f t="shared" si="10"/>
        <v>44930</v>
      </c>
      <c r="D43" s="217">
        <f t="shared" si="10"/>
        <v>44950</v>
      </c>
      <c r="E43" s="54" t="s">
        <v>22</v>
      </c>
      <c r="F43" s="161">
        <v>9</v>
      </c>
      <c r="G43" s="208">
        <v>3399</v>
      </c>
      <c r="H43" s="209">
        <f t="shared" si="5"/>
        <v>7.7465319548675735</v>
      </c>
      <c r="I43" s="209">
        <f t="shared" si="1"/>
        <v>3.5148822427931381</v>
      </c>
      <c r="J43" s="210">
        <f t="shared" si="2"/>
        <v>11947.084743253876</v>
      </c>
      <c r="K43" s="211">
        <f t="shared" si="11"/>
        <v>26330.462114594884</v>
      </c>
      <c r="L43" s="212">
        <f t="shared" si="12"/>
        <v>-14383.377371341008</v>
      </c>
      <c r="M43" s="203">
        <f t="shared" si="7"/>
        <v>-785.43449674437056</v>
      </c>
      <c r="N43" s="204">
        <f t="shared" si="8"/>
        <v>-15168.811868085379</v>
      </c>
      <c r="O43" s="203">
        <v>0</v>
      </c>
      <c r="P43" s="203">
        <v>0</v>
      </c>
      <c r="Q43" s="203">
        <v>0</v>
      </c>
      <c r="R43" s="204">
        <f t="shared" si="9"/>
        <v>-15168.811868085379</v>
      </c>
    </row>
    <row r="44" spans="1:18" x14ac:dyDescent="0.2">
      <c r="A44" s="124">
        <v>1</v>
      </c>
      <c r="B44" s="213">
        <f t="shared" ref="B44:B55" si="13">DATE($R$1,A44,1)</f>
        <v>44562</v>
      </c>
      <c r="C44" s="214">
        <f t="shared" ref="C44:D55" si="14">+C32</f>
        <v>44595</v>
      </c>
      <c r="D44" s="214">
        <f t="shared" si="14"/>
        <v>44615</v>
      </c>
      <c r="E44" s="215" t="s">
        <v>80</v>
      </c>
      <c r="F44" s="216">
        <v>9</v>
      </c>
      <c r="G44" s="198">
        <v>163</v>
      </c>
      <c r="H44" s="199">
        <f t="shared" si="5"/>
        <v>7.7465319548675735</v>
      </c>
      <c r="I44" s="199">
        <f t="shared" si="1"/>
        <v>3.5148822427931381</v>
      </c>
      <c r="J44" s="203">
        <f t="shared" ref="J44:J55" si="15">+$G44*I44</f>
        <v>572.92580557528152</v>
      </c>
      <c r="K44" s="207">
        <f t="shared" ref="K44:K55" si="16">+$G44*H44</f>
        <v>1262.6847086434145</v>
      </c>
      <c r="L44" s="206">
        <f t="shared" ref="L44:L55" si="17">+J44-K44</f>
        <v>-689.75890306813301</v>
      </c>
      <c r="M44" s="203">
        <f t="shared" si="7"/>
        <v>-37.665731970971578</v>
      </c>
      <c r="N44" s="204">
        <f t="shared" si="8"/>
        <v>-727.4246350391046</v>
      </c>
      <c r="O44" s="203">
        <v>0</v>
      </c>
      <c r="P44" s="203">
        <v>0</v>
      </c>
      <c r="Q44" s="203">
        <v>0</v>
      </c>
      <c r="R44" s="204">
        <f t="shared" si="9"/>
        <v>-727.4246350391046</v>
      </c>
    </row>
    <row r="45" spans="1:18" x14ac:dyDescent="0.2">
      <c r="A45" s="161">
        <v>2</v>
      </c>
      <c r="B45" s="196">
        <f t="shared" si="13"/>
        <v>44593</v>
      </c>
      <c r="C45" s="217">
        <f t="shared" si="14"/>
        <v>44623</v>
      </c>
      <c r="D45" s="217">
        <f t="shared" si="14"/>
        <v>44642</v>
      </c>
      <c r="E45" s="205" t="s">
        <v>80</v>
      </c>
      <c r="F45" s="161">
        <v>9</v>
      </c>
      <c r="G45" s="198">
        <v>155</v>
      </c>
      <c r="H45" s="199">
        <f t="shared" si="5"/>
        <v>7.7465319548675735</v>
      </c>
      <c r="I45" s="199">
        <f t="shared" si="1"/>
        <v>3.5148822427931381</v>
      </c>
      <c r="J45" s="203">
        <f t="shared" si="15"/>
        <v>544.80674763293644</v>
      </c>
      <c r="K45" s="207">
        <f t="shared" si="16"/>
        <v>1200.7124530044739</v>
      </c>
      <c r="L45" s="206">
        <f t="shared" si="17"/>
        <v>-655.90570537153746</v>
      </c>
      <c r="M45" s="203">
        <f t="shared" si="7"/>
        <v>-35.817107088960704</v>
      </c>
      <c r="N45" s="204">
        <f t="shared" si="8"/>
        <v>-691.72281246049818</v>
      </c>
      <c r="O45" s="203">
        <v>0</v>
      </c>
      <c r="P45" s="203">
        <v>0</v>
      </c>
      <c r="Q45" s="203">
        <v>0</v>
      </c>
      <c r="R45" s="204">
        <f t="shared" si="9"/>
        <v>-691.72281246049818</v>
      </c>
    </row>
    <row r="46" spans="1:18" x14ac:dyDescent="0.2">
      <c r="A46" s="161">
        <v>3</v>
      </c>
      <c r="B46" s="196">
        <f t="shared" si="13"/>
        <v>44621</v>
      </c>
      <c r="C46" s="217">
        <f t="shared" si="14"/>
        <v>44656</v>
      </c>
      <c r="D46" s="217">
        <f t="shared" si="14"/>
        <v>44676</v>
      </c>
      <c r="E46" s="205" t="s">
        <v>80</v>
      </c>
      <c r="F46" s="161">
        <v>9</v>
      </c>
      <c r="G46" s="198">
        <v>141</v>
      </c>
      <c r="H46" s="199">
        <f t="shared" si="5"/>
        <v>7.7465319548675735</v>
      </c>
      <c r="I46" s="199">
        <f t="shared" si="1"/>
        <v>3.5148822427931381</v>
      </c>
      <c r="J46" s="203">
        <f t="shared" si="15"/>
        <v>495.59839623383249</v>
      </c>
      <c r="K46" s="207">
        <f t="shared" si="16"/>
        <v>1092.2610056363278</v>
      </c>
      <c r="L46" s="206">
        <f t="shared" si="17"/>
        <v>-596.66260940249526</v>
      </c>
      <c r="M46" s="203">
        <f t="shared" si="7"/>
        <v>-32.582013545441676</v>
      </c>
      <c r="N46" s="204">
        <f t="shared" si="8"/>
        <v>-629.24462294793693</v>
      </c>
      <c r="O46" s="203">
        <v>0</v>
      </c>
      <c r="P46" s="203">
        <v>0</v>
      </c>
      <c r="Q46" s="203">
        <v>0</v>
      </c>
      <c r="R46" s="204">
        <f t="shared" si="9"/>
        <v>-629.24462294793693</v>
      </c>
    </row>
    <row r="47" spans="1:18" x14ac:dyDescent="0.2">
      <c r="A47" s="124">
        <v>4</v>
      </c>
      <c r="B47" s="196">
        <f t="shared" si="13"/>
        <v>44652</v>
      </c>
      <c r="C47" s="217">
        <f t="shared" si="14"/>
        <v>44685</v>
      </c>
      <c r="D47" s="217">
        <f t="shared" si="14"/>
        <v>44705</v>
      </c>
      <c r="E47" s="205" t="s">
        <v>80</v>
      </c>
      <c r="F47" s="161">
        <v>9</v>
      </c>
      <c r="G47" s="198">
        <v>92</v>
      </c>
      <c r="H47" s="199">
        <f t="shared" si="5"/>
        <v>7.7465319548675735</v>
      </c>
      <c r="I47" s="199">
        <f t="shared" si="1"/>
        <v>3.5148822427931381</v>
      </c>
      <c r="J47" s="203">
        <f t="shared" si="15"/>
        <v>323.3691663369687</v>
      </c>
      <c r="K47" s="207">
        <f t="shared" si="16"/>
        <v>712.68093984781672</v>
      </c>
      <c r="L47" s="206">
        <f t="shared" si="17"/>
        <v>-389.31177351084801</v>
      </c>
      <c r="M47" s="203">
        <f t="shared" si="7"/>
        <v>-21.259186143125063</v>
      </c>
      <c r="N47" s="204">
        <f t="shared" si="8"/>
        <v>-410.57095965397309</v>
      </c>
      <c r="O47" s="203">
        <v>0</v>
      </c>
      <c r="P47" s="203">
        <v>0</v>
      </c>
      <c r="Q47" s="203">
        <v>0</v>
      </c>
      <c r="R47" s="204">
        <f t="shared" si="9"/>
        <v>-410.57095965397309</v>
      </c>
    </row>
    <row r="48" spans="1:18" x14ac:dyDescent="0.2">
      <c r="A48" s="161">
        <v>5</v>
      </c>
      <c r="B48" s="196">
        <f t="shared" si="13"/>
        <v>44682</v>
      </c>
      <c r="C48" s="217">
        <f t="shared" si="14"/>
        <v>44715</v>
      </c>
      <c r="D48" s="217">
        <f t="shared" si="14"/>
        <v>44735</v>
      </c>
      <c r="E48" s="205" t="s">
        <v>80</v>
      </c>
      <c r="F48" s="161">
        <v>9</v>
      </c>
      <c r="G48" s="198">
        <v>131</v>
      </c>
      <c r="H48" s="199">
        <f t="shared" si="5"/>
        <v>7.7465319548675735</v>
      </c>
      <c r="I48" s="199">
        <f t="shared" si="1"/>
        <v>3.5148822427931381</v>
      </c>
      <c r="J48" s="203">
        <f t="shared" si="15"/>
        <v>460.44957380590108</v>
      </c>
      <c r="K48" s="207">
        <f t="shared" si="16"/>
        <v>1014.7956860876521</v>
      </c>
      <c r="L48" s="206">
        <f t="shared" si="17"/>
        <v>-554.34611228175106</v>
      </c>
      <c r="M48" s="203">
        <f t="shared" si="7"/>
        <v>-30.271232442928081</v>
      </c>
      <c r="N48" s="204">
        <f t="shared" si="8"/>
        <v>-584.61734472467913</v>
      </c>
      <c r="O48" s="203">
        <v>0</v>
      </c>
      <c r="P48" s="203">
        <v>0</v>
      </c>
      <c r="Q48" s="203">
        <v>0</v>
      </c>
      <c r="R48" s="204">
        <f t="shared" si="9"/>
        <v>-584.61734472467913</v>
      </c>
    </row>
    <row r="49" spans="1:18" x14ac:dyDescent="0.2">
      <c r="A49" s="161">
        <v>6</v>
      </c>
      <c r="B49" s="196">
        <f t="shared" si="13"/>
        <v>44713</v>
      </c>
      <c r="C49" s="217">
        <f t="shared" si="14"/>
        <v>44747</v>
      </c>
      <c r="D49" s="217">
        <f t="shared" si="14"/>
        <v>44767</v>
      </c>
      <c r="E49" s="205" t="s">
        <v>80</v>
      </c>
      <c r="F49" s="161">
        <v>9</v>
      </c>
      <c r="G49" s="198">
        <v>152</v>
      </c>
      <c r="H49" s="199">
        <f t="shared" si="5"/>
        <v>7.7465319548675735</v>
      </c>
      <c r="I49" s="199">
        <f t="shared" si="1"/>
        <v>3.5148822427931381</v>
      </c>
      <c r="J49" s="203">
        <f t="shared" si="15"/>
        <v>534.26210090455697</v>
      </c>
      <c r="K49" s="207">
        <f t="shared" si="16"/>
        <v>1177.4728571398712</v>
      </c>
      <c r="L49" s="206">
        <f t="shared" si="17"/>
        <v>-643.21075623531419</v>
      </c>
      <c r="M49" s="203">
        <f t="shared" si="7"/>
        <v>-35.12387275820663</v>
      </c>
      <c r="N49" s="204">
        <f t="shared" si="8"/>
        <v>-678.33462899352082</v>
      </c>
      <c r="O49" s="203">
        <v>0</v>
      </c>
      <c r="P49" s="203">
        <v>0</v>
      </c>
      <c r="Q49" s="203">
        <v>0</v>
      </c>
      <c r="R49" s="204">
        <f t="shared" si="9"/>
        <v>-678.33462899352082</v>
      </c>
    </row>
    <row r="50" spans="1:18" x14ac:dyDescent="0.2">
      <c r="A50" s="124">
        <v>7</v>
      </c>
      <c r="B50" s="196">
        <f t="shared" si="13"/>
        <v>44743</v>
      </c>
      <c r="C50" s="217">
        <f t="shared" si="14"/>
        <v>44776</v>
      </c>
      <c r="D50" s="217">
        <f t="shared" si="14"/>
        <v>44796</v>
      </c>
      <c r="E50" s="205" t="s">
        <v>80</v>
      </c>
      <c r="F50" s="161">
        <v>9</v>
      </c>
      <c r="G50" s="198">
        <v>149</v>
      </c>
      <c r="H50" s="199">
        <f t="shared" si="5"/>
        <v>7.7465319548675735</v>
      </c>
      <c r="I50" s="199">
        <f t="shared" si="1"/>
        <v>3.5148822427931381</v>
      </c>
      <c r="J50" s="203">
        <f t="shared" si="15"/>
        <v>523.71745417617763</v>
      </c>
      <c r="K50" s="207">
        <f t="shared" si="16"/>
        <v>1154.2332612752684</v>
      </c>
      <c r="L50" s="206">
        <f t="shared" si="17"/>
        <v>-630.51580709909081</v>
      </c>
      <c r="M50" s="203">
        <f t="shared" si="7"/>
        <v>-34.43063842745255</v>
      </c>
      <c r="N50" s="204">
        <f t="shared" si="8"/>
        <v>-664.94644552654336</v>
      </c>
      <c r="O50" s="203">
        <v>0</v>
      </c>
      <c r="P50" s="203">
        <v>0</v>
      </c>
      <c r="Q50" s="203">
        <v>0</v>
      </c>
      <c r="R50" s="204">
        <f t="shared" si="9"/>
        <v>-664.94644552654336</v>
      </c>
    </row>
    <row r="51" spans="1:18" x14ac:dyDescent="0.2">
      <c r="A51" s="161">
        <v>8</v>
      </c>
      <c r="B51" s="196">
        <f t="shared" si="13"/>
        <v>44774</v>
      </c>
      <c r="C51" s="217">
        <f t="shared" si="14"/>
        <v>44809</v>
      </c>
      <c r="D51" s="217">
        <f t="shared" si="14"/>
        <v>44827</v>
      </c>
      <c r="E51" s="205" t="s">
        <v>80</v>
      </c>
      <c r="F51" s="161">
        <v>9</v>
      </c>
      <c r="G51" s="198">
        <v>137</v>
      </c>
      <c r="H51" s="199">
        <f t="shared" si="5"/>
        <v>7.7465319548675735</v>
      </c>
      <c r="I51" s="199">
        <f t="shared" si="1"/>
        <v>3.5148822427931381</v>
      </c>
      <c r="J51" s="203">
        <f t="shared" si="15"/>
        <v>481.53886726265989</v>
      </c>
      <c r="K51" s="207">
        <f t="shared" si="16"/>
        <v>1061.2748778168575</v>
      </c>
      <c r="L51" s="206">
        <f t="shared" si="17"/>
        <v>-579.73601055419761</v>
      </c>
      <c r="M51" s="203">
        <f t="shared" si="7"/>
        <v>-31.657701104436239</v>
      </c>
      <c r="N51" s="204">
        <f t="shared" si="8"/>
        <v>-611.39371165863383</v>
      </c>
      <c r="O51" s="203">
        <v>0</v>
      </c>
      <c r="P51" s="203">
        <v>0</v>
      </c>
      <c r="Q51" s="203">
        <v>0</v>
      </c>
      <c r="R51" s="204">
        <f t="shared" si="9"/>
        <v>-611.39371165863383</v>
      </c>
    </row>
    <row r="52" spans="1:18" x14ac:dyDescent="0.2">
      <c r="A52" s="161">
        <v>9</v>
      </c>
      <c r="B52" s="196">
        <f t="shared" si="13"/>
        <v>44805</v>
      </c>
      <c r="C52" s="217">
        <f t="shared" si="14"/>
        <v>44839</v>
      </c>
      <c r="D52" s="217">
        <f t="shared" si="14"/>
        <v>44859</v>
      </c>
      <c r="E52" s="205" t="s">
        <v>80</v>
      </c>
      <c r="F52" s="161">
        <v>9</v>
      </c>
      <c r="G52" s="198">
        <v>136</v>
      </c>
      <c r="H52" s="199">
        <f t="shared" si="5"/>
        <v>7.7465319548675735</v>
      </c>
      <c r="I52" s="199">
        <f t="shared" si="1"/>
        <v>3.5148822427931381</v>
      </c>
      <c r="J52" s="203">
        <f t="shared" si="15"/>
        <v>478.02398501986676</v>
      </c>
      <c r="K52" s="207">
        <f t="shared" si="16"/>
        <v>1053.5283458619899</v>
      </c>
      <c r="L52" s="206">
        <f t="shared" si="17"/>
        <v>-575.50436084212311</v>
      </c>
      <c r="M52" s="203">
        <f t="shared" si="7"/>
        <v>-31.426622994184878</v>
      </c>
      <c r="N52" s="204">
        <f t="shared" si="8"/>
        <v>-606.93098383630797</v>
      </c>
      <c r="O52" s="203">
        <v>0</v>
      </c>
      <c r="P52" s="203">
        <v>0</v>
      </c>
      <c r="Q52" s="203">
        <v>0</v>
      </c>
      <c r="R52" s="204">
        <f t="shared" si="9"/>
        <v>-606.93098383630797</v>
      </c>
    </row>
    <row r="53" spans="1:18" x14ac:dyDescent="0.2">
      <c r="A53" s="124">
        <v>10</v>
      </c>
      <c r="B53" s="196">
        <f t="shared" si="13"/>
        <v>44835</v>
      </c>
      <c r="C53" s="217">
        <f t="shared" si="14"/>
        <v>44868</v>
      </c>
      <c r="D53" s="217">
        <f t="shared" si="14"/>
        <v>44888</v>
      </c>
      <c r="E53" s="205" t="s">
        <v>80</v>
      </c>
      <c r="F53" s="161">
        <v>9</v>
      </c>
      <c r="G53" s="198">
        <v>91</v>
      </c>
      <c r="H53" s="199">
        <f t="shared" si="5"/>
        <v>7.7465319548675735</v>
      </c>
      <c r="I53" s="199">
        <f t="shared" si="1"/>
        <v>3.5148822427931381</v>
      </c>
      <c r="J53" s="203">
        <f t="shared" si="15"/>
        <v>319.85428409417557</v>
      </c>
      <c r="K53" s="207">
        <f t="shared" si="16"/>
        <v>704.93440789294914</v>
      </c>
      <c r="L53" s="206">
        <f t="shared" si="17"/>
        <v>-385.08012379877357</v>
      </c>
      <c r="M53" s="203">
        <f t="shared" si="7"/>
        <v>-21.028108032873703</v>
      </c>
      <c r="N53" s="204">
        <f t="shared" si="8"/>
        <v>-406.10823183164729</v>
      </c>
      <c r="O53" s="203">
        <v>0</v>
      </c>
      <c r="P53" s="203">
        <v>0</v>
      </c>
      <c r="Q53" s="203">
        <v>0</v>
      </c>
      <c r="R53" s="204">
        <f t="shared" si="9"/>
        <v>-406.10823183164729</v>
      </c>
    </row>
    <row r="54" spans="1:18" x14ac:dyDescent="0.2">
      <c r="A54" s="161">
        <v>11</v>
      </c>
      <c r="B54" s="196">
        <f t="shared" si="13"/>
        <v>44866</v>
      </c>
      <c r="C54" s="217">
        <f t="shared" si="14"/>
        <v>44900</v>
      </c>
      <c r="D54" s="217">
        <f t="shared" si="14"/>
        <v>44918</v>
      </c>
      <c r="E54" s="205" t="s">
        <v>80</v>
      </c>
      <c r="F54" s="161">
        <v>9</v>
      </c>
      <c r="G54" s="198">
        <v>113</v>
      </c>
      <c r="H54" s="199">
        <f t="shared" si="5"/>
        <v>7.7465319548675735</v>
      </c>
      <c r="I54" s="199">
        <f t="shared" si="1"/>
        <v>3.5148822427931381</v>
      </c>
      <c r="J54" s="203">
        <f t="shared" si="15"/>
        <v>397.1816934356246</v>
      </c>
      <c r="K54" s="207">
        <f t="shared" si="16"/>
        <v>875.35811090003585</v>
      </c>
      <c r="L54" s="206">
        <f t="shared" si="17"/>
        <v>-478.17641746441126</v>
      </c>
      <c r="M54" s="203">
        <f t="shared" si="7"/>
        <v>-26.111826458403613</v>
      </c>
      <c r="N54" s="204">
        <f t="shared" si="8"/>
        <v>-504.2882439228149</v>
      </c>
      <c r="O54" s="203">
        <v>0</v>
      </c>
      <c r="P54" s="203">
        <v>0</v>
      </c>
      <c r="Q54" s="203">
        <v>0</v>
      </c>
      <c r="R54" s="204">
        <f t="shared" si="9"/>
        <v>-504.2882439228149</v>
      </c>
    </row>
    <row r="55" spans="1:18" x14ac:dyDescent="0.2">
      <c r="A55" s="161">
        <v>12</v>
      </c>
      <c r="B55" s="196">
        <f t="shared" si="13"/>
        <v>44896</v>
      </c>
      <c r="C55" s="217">
        <f t="shared" si="14"/>
        <v>44930</v>
      </c>
      <c r="D55" s="217">
        <f t="shared" si="14"/>
        <v>44950</v>
      </c>
      <c r="E55" s="205" t="s">
        <v>80</v>
      </c>
      <c r="F55" s="161">
        <v>9</v>
      </c>
      <c r="G55" s="208">
        <v>210</v>
      </c>
      <c r="H55" s="209">
        <f t="shared" si="5"/>
        <v>7.7465319548675735</v>
      </c>
      <c r="I55" s="209">
        <f t="shared" si="1"/>
        <v>3.5148822427931381</v>
      </c>
      <c r="J55" s="210">
        <f t="shared" si="15"/>
        <v>738.12527098655903</v>
      </c>
      <c r="K55" s="211">
        <f t="shared" si="16"/>
        <v>1626.7717105221905</v>
      </c>
      <c r="L55" s="212">
        <f t="shared" si="17"/>
        <v>-888.64643953563143</v>
      </c>
      <c r="M55" s="203">
        <f t="shared" si="7"/>
        <v>-48.526403152785477</v>
      </c>
      <c r="N55" s="204">
        <f t="shared" si="8"/>
        <v>-937.17284268841695</v>
      </c>
      <c r="O55" s="203">
        <v>0</v>
      </c>
      <c r="P55" s="203">
        <v>0</v>
      </c>
      <c r="Q55" s="203">
        <v>0</v>
      </c>
      <c r="R55" s="204">
        <f t="shared" si="9"/>
        <v>-937.17284268841695</v>
      </c>
    </row>
    <row r="56" spans="1:18" s="218" customFormat="1" x14ac:dyDescent="0.2">
      <c r="A56" s="124">
        <v>1</v>
      </c>
      <c r="B56" s="213">
        <f t="shared" si="4"/>
        <v>44562</v>
      </c>
      <c r="C56" s="214">
        <f t="shared" ref="C56:D67" si="18">+C32</f>
        <v>44595</v>
      </c>
      <c r="D56" s="214">
        <f t="shared" si="18"/>
        <v>44615</v>
      </c>
      <c r="E56" s="215" t="s">
        <v>14</v>
      </c>
      <c r="F56" s="216">
        <v>9</v>
      </c>
      <c r="G56" s="198">
        <v>893</v>
      </c>
      <c r="H56" s="199">
        <f t="shared" si="5"/>
        <v>7.7465319548675735</v>
      </c>
      <c r="I56" s="199">
        <f t="shared" si="1"/>
        <v>3.5148822427931381</v>
      </c>
      <c r="J56" s="200">
        <f t="shared" si="2"/>
        <v>3138.7898428142721</v>
      </c>
      <c r="K56" s="201">
        <f t="shared" si="11"/>
        <v>6917.6530356967432</v>
      </c>
      <c r="L56" s="202">
        <f t="shared" si="12"/>
        <v>-3778.8631928824711</v>
      </c>
      <c r="M56" s="203">
        <f t="shared" si="7"/>
        <v>-206.35275245446394</v>
      </c>
      <c r="N56" s="204">
        <f t="shared" si="8"/>
        <v>-3985.215945336935</v>
      </c>
      <c r="O56" s="203">
        <v>0</v>
      </c>
      <c r="P56" s="203">
        <v>0</v>
      </c>
      <c r="Q56" s="203">
        <v>0</v>
      </c>
      <c r="R56" s="204">
        <f t="shared" si="9"/>
        <v>-3985.215945336935</v>
      </c>
    </row>
    <row r="57" spans="1:18" x14ac:dyDescent="0.2">
      <c r="A57" s="161">
        <v>2</v>
      </c>
      <c r="B57" s="196">
        <f t="shared" si="4"/>
        <v>44593</v>
      </c>
      <c r="C57" s="217">
        <f t="shared" si="18"/>
        <v>44623</v>
      </c>
      <c r="D57" s="217">
        <f t="shared" si="18"/>
        <v>44642</v>
      </c>
      <c r="E57" s="205" t="s">
        <v>14</v>
      </c>
      <c r="F57" s="161">
        <v>9</v>
      </c>
      <c r="G57" s="198">
        <v>796</v>
      </c>
      <c r="H57" s="199">
        <f t="shared" si="5"/>
        <v>7.7465319548675735</v>
      </c>
      <c r="I57" s="199">
        <f t="shared" si="1"/>
        <v>3.5148822427931381</v>
      </c>
      <c r="J57" s="200">
        <f t="shared" si="2"/>
        <v>2797.846265263338</v>
      </c>
      <c r="K57" s="201">
        <f t="shared" si="11"/>
        <v>6166.2394360745884</v>
      </c>
      <c r="L57" s="202">
        <f t="shared" si="12"/>
        <v>-3368.3931708112505</v>
      </c>
      <c r="M57" s="203">
        <f t="shared" si="7"/>
        <v>-183.93817576008209</v>
      </c>
      <c r="N57" s="204">
        <f t="shared" si="8"/>
        <v>-3552.3313465713327</v>
      </c>
      <c r="O57" s="203">
        <v>0</v>
      </c>
      <c r="P57" s="203">
        <v>0</v>
      </c>
      <c r="Q57" s="203">
        <v>0</v>
      </c>
      <c r="R57" s="204">
        <f t="shared" si="9"/>
        <v>-3552.3313465713327</v>
      </c>
    </row>
    <row r="58" spans="1:18" x14ac:dyDescent="0.2">
      <c r="A58" s="161">
        <v>3</v>
      </c>
      <c r="B58" s="196">
        <f t="shared" si="4"/>
        <v>44621</v>
      </c>
      <c r="C58" s="217">
        <f t="shared" si="18"/>
        <v>44656</v>
      </c>
      <c r="D58" s="217">
        <f t="shared" si="18"/>
        <v>44676</v>
      </c>
      <c r="E58" s="205" t="s">
        <v>14</v>
      </c>
      <c r="F58" s="161">
        <v>9</v>
      </c>
      <c r="G58" s="198">
        <v>700</v>
      </c>
      <c r="H58" s="199">
        <f t="shared" si="5"/>
        <v>7.7465319548675735</v>
      </c>
      <c r="I58" s="199">
        <f t="shared" si="1"/>
        <v>3.5148822427931381</v>
      </c>
      <c r="J58" s="200">
        <f t="shared" si="2"/>
        <v>2460.4175699551965</v>
      </c>
      <c r="K58" s="201">
        <f t="shared" si="11"/>
        <v>5422.5723684073018</v>
      </c>
      <c r="L58" s="202">
        <f>+J58-K58</f>
        <v>-2962.1547984521053</v>
      </c>
      <c r="M58" s="203">
        <f t="shared" si="7"/>
        <v>-161.75467717595157</v>
      </c>
      <c r="N58" s="204">
        <f t="shared" si="8"/>
        <v>-3123.909475628057</v>
      </c>
      <c r="O58" s="203">
        <v>0</v>
      </c>
      <c r="P58" s="203">
        <v>0</v>
      </c>
      <c r="Q58" s="203">
        <v>0</v>
      </c>
      <c r="R58" s="204">
        <f t="shared" si="9"/>
        <v>-3123.909475628057</v>
      </c>
    </row>
    <row r="59" spans="1:18" x14ac:dyDescent="0.2">
      <c r="A59" s="124">
        <v>4</v>
      </c>
      <c r="B59" s="196">
        <f t="shared" si="4"/>
        <v>44652</v>
      </c>
      <c r="C59" s="217">
        <f t="shared" si="18"/>
        <v>44685</v>
      </c>
      <c r="D59" s="217">
        <f t="shared" si="18"/>
        <v>44705</v>
      </c>
      <c r="E59" s="205" t="s">
        <v>14</v>
      </c>
      <c r="F59" s="161">
        <v>9</v>
      </c>
      <c r="G59" s="198">
        <v>549</v>
      </c>
      <c r="H59" s="199">
        <f t="shared" si="5"/>
        <v>7.7465319548675735</v>
      </c>
      <c r="I59" s="199">
        <f t="shared" si="1"/>
        <v>3.5148822427931381</v>
      </c>
      <c r="J59" s="200">
        <f t="shared" si="2"/>
        <v>1929.6703512934328</v>
      </c>
      <c r="K59" s="201">
        <f t="shared" si="11"/>
        <v>4252.8460432222982</v>
      </c>
      <c r="L59" s="202">
        <f t="shared" ref="L59:L81" si="19">+J59-K59</f>
        <v>-2323.1756919288655</v>
      </c>
      <c r="M59" s="203">
        <f t="shared" si="7"/>
        <v>-126.8618825279963</v>
      </c>
      <c r="N59" s="204">
        <f t="shared" si="8"/>
        <v>-2450.0375744568619</v>
      </c>
      <c r="O59" s="203">
        <v>0</v>
      </c>
      <c r="P59" s="203">
        <v>0</v>
      </c>
      <c r="Q59" s="203">
        <v>0</v>
      </c>
      <c r="R59" s="204">
        <f t="shared" si="9"/>
        <v>-2450.0375744568619</v>
      </c>
    </row>
    <row r="60" spans="1:18" x14ac:dyDescent="0.2">
      <c r="A60" s="161">
        <v>5</v>
      </c>
      <c r="B60" s="196">
        <f t="shared" si="4"/>
        <v>44682</v>
      </c>
      <c r="C60" s="217">
        <f t="shared" si="18"/>
        <v>44715</v>
      </c>
      <c r="D60" s="217">
        <f t="shared" si="18"/>
        <v>44735</v>
      </c>
      <c r="E60" s="54" t="s">
        <v>14</v>
      </c>
      <c r="F60" s="161">
        <v>9</v>
      </c>
      <c r="G60" s="198">
        <v>753</v>
      </c>
      <c r="H60" s="199">
        <f t="shared" si="5"/>
        <v>7.7465319548675735</v>
      </c>
      <c r="I60" s="199">
        <f t="shared" si="1"/>
        <v>3.5148822427931381</v>
      </c>
      <c r="J60" s="200">
        <f t="shared" si="2"/>
        <v>2646.706328823233</v>
      </c>
      <c r="K60" s="201">
        <f t="shared" si="11"/>
        <v>5833.1385620152832</v>
      </c>
      <c r="L60" s="202">
        <f t="shared" si="19"/>
        <v>-3186.4322331920503</v>
      </c>
      <c r="M60" s="203">
        <f t="shared" si="7"/>
        <v>-174.00181701927363</v>
      </c>
      <c r="N60" s="204">
        <f t="shared" si="8"/>
        <v>-3360.4340502113237</v>
      </c>
      <c r="O60" s="203">
        <v>0</v>
      </c>
      <c r="P60" s="203">
        <v>0</v>
      </c>
      <c r="Q60" s="203">
        <v>0</v>
      </c>
      <c r="R60" s="204">
        <f t="shared" si="9"/>
        <v>-3360.4340502113237</v>
      </c>
    </row>
    <row r="61" spans="1:18" x14ac:dyDescent="0.2">
      <c r="A61" s="161">
        <v>6</v>
      </c>
      <c r="B61" s="196">
        <f t="shared" si="4"/>
        <v>44713</v>
      </c>
      <c r="C61" s="217">
        <f t="shared" si="18"/>
        <v>44747</v>
      </c>
      <c r="D61" s="217">
        <f t="shared" si="18"/>
        <v>44767</v>
      </c>
      <c r="E61" s="54" t="s">
        <v>14</v>
      </c>
      <c r="F61" s="161">
        <v>9</v>
      </c>
      <c r="G61" s="198">
        <v>942</v>
      </c>
      <c r="H61" s="199">
        <f t="shared" si="5"/>
        <v>7.7465319548675735</v>
      </c>
      <c r="I61" s="199">
        <f t="shared" si="1"/>
        <v>3.5148822427931381</v>
      </c>
      <c r="J61" s="200">
        <f t="shared" si="2"/>
        <v>3311.0190727111362</v>
      </c>
      <c r="K61" s="201">
        <f t="shared" si="11"/>
        <v>7297.2331014852543</v>
      </c>
      <c r="L61" s="206">
        <f t="shared" si="19"/>
        <v>-3986.2140287741181</v>
      </c>
      <c r="M61" s="203">
        <f t="shared" si="7"/>
        <v>-217.67557985678056</v>
      </c>
      <c r="N61" s="204">
        <f t="shared" si="8"/>
        <v>-4203.8896086308987</v>
      </c>
      <c r="O61" s="203">
        <v>0</v>
      </c>
      <c r="P61" s="203">
        <v>0</v>
      </c>
      <c r="Q61" s="203">
        <v>0</v>
      </c>
      <c r="R61" s="204">
        <f t="shared" si="9"/>
        <v>-4203.8896086308987</v>
      </c>
    </row>
    <row r="62" spans="1:18" x14ac:dyDescent="0.2">
      <c r="A62" s="124">
        <v>7</v>
      </c>
      <c r="B62" s="196">
        <f t="shared" si="4"/>
        <v>44743</v>
      </c>
      <c r="C62" s="217">
        <f t="shared" si="18"/>
        <v>44776</v>
      </c>
      <c r="D62" s="217">
        <f t="shared" si="18"/>
        <v>44796</v>
      </c>
      <c r="E62" s="54" t="s">
        <v>14</v>
      </c>
      <c r="F62" s="161">
        <v>9</v>
      </c>
      <c r="G62" s="198">
        <v>1036</v>
      </c>
      <c r="H62" s="199">
        <f t="shared" si="5"/>
        <v>7.7465319548675735</v>
      </c>
      <c r="I62" s="199">
        <f t="shared" si="1"/>
        <v>3.5148822427931381</v>
      </c>
      <c r="J62" s="200">
        <f t="shared" si="2"/>
        <v>3641.4180035336913</v>
      </c>
      <c r="K62" s="207">
        <f t="shared" si="11"/>
        <v>8025.4071052428062</v>
      </c>
      <c r="L62" s="206">
        <f t="shared" si="19"/>
        <v>-4383.9891017091149</v>
      </c>
      <c r="M62" s="203">
        <f t="shared" si="7"/>
        <v>-239.39692222040833</v>
      </c>
      <c r="N62" s="204">
        <f t="shared" si="8"/>
        <v>-4623.3860239295236</v>
      </c>
      <c r="O62" s="203">
        <v>0</v>
      </c>
      <c r="P62" s="203">
        <v>0</v>
      </c>
      <c r="Q62" s="203">
        <v>0</v>
      </c>
      <c r="R62" s="204">
        <f t="shared" si="9"/>
        <v>-4623.3860239295236</v>
      </c>
    </row>
    <row r="63" spans="1:18" x14ac:dyDescent="0.2">
      <c r="A63" s="161">
        <v>8</v>
      </c>
      <c r="B63" s="196">
        <f t="shared" si="4"/>
        <v>44774</v>
      </c>
      <c r="C63" s="217">
        <f t="shared" si="18"/>
        <v>44809</v>
      </c>
      <c r="D63" s="217">
        <f t="shared" si="18"/>
        <v>44827</v>
      </c>
      <c r="E63" s="54" t="s">
        <v>14</v>
      </c>
      <c r="F63" s="161">
        <v>9</v>
      </c>
      <c r="G63" s="198">
        <v>954</v>
      </c>
      <c r="H63" s="199">
        <f t="shared" si="5"/>
        <v>7.7465319548675735</v>
      </c>
      <c r="I63" s="199">
        <f t="shared" si="1"/>
        <v>3.5148822427931381</v>
      </c>
      <c r="J63" s="200">
        <f t="shared" si="2"/>
        <v>3353.1976596246536</v>
      </c>
      <c r="K63" s="207">
        <f t="shared" si="11"/>
        <v>7390.1914849436653</v>
      </c>
      <c r="L63" s="206">
        <f t="shared" si="19"/>
        <v>-4036.9938253190116</v>
      </c>
      <c r="M63" s="203">
        <f t="shared" si="7"/>
        <v>-220.44851717979685</v>
      </c>
      <c r="N63" s="204">
        <f t="shared" si="8"/>
        <v>-4257.4423424988081</v>
      </c>
      <c r="O63" s="203">
        <v>0</v>
      </c>
      <c r="P63" s="203">
        <v>0</v>
      </c>
      <c r="Q63" s="203">
        <v>0</v>
      </c>
      <c r="R63" s="204">
        <f t="shared" si="9"/>
        <v>-4257.4423424988081</v>
      </c>
    </row>
    <row r="64" spans="1:18" x14ac:dyDescent="0.2">
      <c r="A64" s="161">
        <v>9</v>
      </c>
      <c r="B64" s="196">
        <f t="shared" si="4"/>
        <v>44805</v>
      </c>
      <c r="C64" s="217">
        <f t="shared" si="18"/>
        <v>44839</v>
      </c>
      <c r="D64" s="217">
        <f t="shared" si="18"/>
        <v>44859</v>
      </c>
      <c r="E64" s="54" t="s">
        <v>14</v>
      </c>
      <c r="F64" s="161">
        <v>9</v>
      </c>
      <c r="G64" s="198">
        <v>860</v>
      </c>
      <c r="H64" s="199">
        <f t="shared" si="5"/>
        <v>7.7465319548675735</v>
      </c>
      <c r="I64" s="199">
        <f t="shared" ref="I64:I107" si="20">$J$3</f>
        <v>3.5148822427931381</v>
      </c>
      <c r="J64" s="200">
        <f t="shared" si="2"/>
        <v>3022.7987288020986</v>
      </c>
      <c r="K64" s="207">
        <f t="shared" si="11"/>
        <v>6662.0174811861134</v>
      </c>
      <c r="L64" s="206">
        <f t="shared" si="19"/>
        <v>-3639.2187523840148</v>
      </c>
      <c r="M64" s="203">
        <f t="shared" si="7"/>
        <v>-198.72717481616908</v>
      </c>
      <c r="N64" s="204">
        <f t="shared" si="8"/>
        <v>-3837.9459272001841</v>
      </c>
      <c r="O64" s="203">
        <v>0</v>
      </c>
      <c r="P64" s="203">
        <v>0</v>
      </c>
      <c r="Q64" s="203">
        <v>0</v>
      </c>
      <c r="R64" s="204">
        <f t="shared" si="9"/>
        <v>-3837.9459272001841</v>
      </c>
    </row>
    <row r="65" spans="1:18" x14ac:dyDescent="0.2">
      <c r="A65" s="124">
        <v>10</v>
      </c>
      <c r="B65" s="196">
        <f t="shared" si="4"/>
        <v>44835</v>
      </c>
      <c r="C65" s="217">
        <f t="shared" si="18"/>
        <v>44868</v>
      </c>
      <c r="D65" s="217">
        <f t="shared" si="18"/>
        <v>44888</v>
      </c>
      <c r="E65" s="54" t="s">
        <v>14</v>
      </c>
      <c r="F65" s="161">
        <v>9</v>
      </c>
      <c r="G65" s="198">
        <v>589</v>
      </c>
      <c r="H65" s="199">
        <f t="shared" si="5"/>
        <v>7.7465319548675735</v>
      </c>
      <c r="I65" s="199">
        <f t="shared" si="20"/>
        <v>3.5148822427931381</v>
      </c>
      <c r="J65" s="200">
        <f t="shared" si="2"/>
        <v>2070.2656410051582</v>
      </c>
      <c r="K65" s="207">
        <f t="shared" si="11"/>
        <v>4562.7073214170005</v>
      </c>
      <c r="L65" s="206">
        <f t="shared" si="19"/>
        <v>-2492.4416804118423</v>
      </c>
      <c r="M65" s="203">
        <f t="shared" si="7"/>
        <v>-136.10500693805068</v>
      </c>
      <c r="N65" s="204">
        <f t="shared" si="8"/>
        <v>-2628.5466873498931</v>
      </c>
      <c r="O65" s="203">
        <v>0</v>
      </c>
      <c r="P65" s="203">
        <v>0</v>
      </c>
      <c r="Q65" s="203">
        <v>0</v>
      </c>
      <c r="R65" s="204">
        <f t="shared" si="9"/>
        <v>-2628.5466873498931</v>
      </c>
    </row>
    <row r="66" spans="1:18" x14ac:dyDescent="0.2">
      <c r="A66" s="161">
        <v>11</v>
      </c>
      <c r="B66" s="196">
        <f t="shared" si="4"/>
        <v>44866</v>
      </c>
      <c r="C66" s="217">
        <f t="shared" si="18"/>
        <v>44900</v>
      </c>
      <c r="D66" s="217">
        <f t="shared" si="18"/>
        <v>44918</v>
      </c>
      <c r="E66" s="54" t="s">
        <v>14</v>
      </c>
      <c r="F66" s="161">
        <v>9</v>
      </c>
      <c r="G66" s="198">
        <v>730</v>
      </c>
      <c r="H66" s="199">
        <f t="shared" si="5"/>
        <v>7.7465319548675735</v>
      </c>
      <c r="I66" s="199">
        <f t="shared" si="20"/>
        <v>3.5148822427931381</v>
      </c>
      <c r="J66" s="200">
        <f t="shared" si="2"/>
        <v>2565.8640372389909</v>
      </c>
      <c r="K66" s="207">
        <f t="shared" si="11"/>
        <v>5654.9683270533287</v>
      </c>
      <c r="L66" s="206">
        <f t="shared" si="19"/>
        <v>-3089.1042898143378</v>
      </c>
      <c r="M66" s="203">
        <f t="shared" si="7"/>
        <v>-168.68702048349238</v>
      </c>
      <c r="N66" s="204">
        <f t="shared" si="8"/>
        <v>-3257.79131029783</v>
      </c>
      <c r="O66" s="203">
        <v>0</v>
      </c>
      <c r="P66" s="203">
        <v>0</v>
      </c>
      <c r="Q66" s="203">
        <v>0</v>
      </c>
      <c r="R66" s="204">
        <f t="shared" si="9"/>
        <v>-3257.79131029783</v>
      </c>
    </row>
    <row r="67" spans="1:18" s="221" customFormat="1" x14ac:dyDescent="0.2">
      <c r="A67" s="161">
        <v>12</v>
      </c>
      <c r="B67" s="219">
        <f t="shared" si="4"/>
        <v>44896</v>
      </c>
      <c r="C67" s="217">
        <f t="shared" si="18"/>
        <v>44930</v>
      </c>
      <c r="D67" s="217">
        <f t="shared" si="18"/>
        <v>44950</v>
      </c>
      <c r="E67" s="220" t="s">
        <v>14</v>
      </c>
      <c r="F67" s="172">
        <v>9</v>
      </c>
      <c r="G67" s="208">
        <v>1123</v>
      </c>
      <c r="H67" s="209">
        <f t="shared" si="5"/>
        <v>7.7465319548675735</v>
      </c>
      <c r="I67" s="209">
        <f t="shared" si="20"/>
        <v>3.5148822427931381</v>
      </c>
      <c r="J67" s="210">
        <f t="shared" si="2"/>
        <v>3947.2127586566939</v>
      </c>
      <c r="K67" s="211">
        <f t="shared" si="11"/>
        <v>8699.3553853162848</v>
      </c>
      <c r="L67" s="212">
        <f t="shared" si="19"/>
        <v>-4752.1426266595909</v>
      </c>
      <c r="M67" s="203">
        <f t="shared" si="7"/>
        <v>-259.5007178122766</v>
      </c>
      <c r="N67" s="204">
        <f t="shared" si="8"/>
        <v>-5011.6433444718677</v>
      </c>
      <c r="O67" s="203">
        <v>0</v>
      </c>
      <c r="P67" s="203">
        <v>0</v>
      </c>
      <c r="Q67" s="203">
        <v>0</v>
      </c>
      <c r="R67" s="204">
        <f t="shared" si="9"/>
        <v>-5011.6433444718677</v>
      </c>
    </row>
    <row r="68" spans="1:18" x14ac:dyDescent="0.2">
      <c r="A68" s="124">
        <v>1</v>
      </c>
      <c r="B68" s="196">
        <f t="shared" si="4"/>
        <v>44562</v>
      </c>
      <c r="C68" s="214">
        <f t="shared" ref="C68:D79" si="21">+C56</f>
        <v>44595</v>
      </c>
      <c r="D68" s="214">
        <f t="shared" si="21"/>
        <v>44615</v>
      </c>
      <c r="E68" s="197" t="s">
        <v>82</v>
      </c>
      <c r="F68" s="124">
        <v>9</v>
      </c>
      <c r="G68" s="198">
        <v>48</v>
      </c>
      <c r="H68" s="199">
        <f t="shared" si="5"/>
        <v>7.7465319548675735</v>
      </c>
      <c r="I68" s="199">
        <f t="shared" si="20"/>
        <v>3.5148822427931381</v>
      </c>
      <c r="J68" s="200">
        <f t="shared" si="2"/>
        <v>168.71434765407062</v>
      </c>
      <c r="K68" s="201">
        <f t="shared" si="11"/>
        <v>371.83353383364351</v>
      </c>
      <c r="L68" s="202">
        <f t="shared" si="19"/>
        <v>-203.11918617957289</v>
      </c>
      <c r="M68" s="203">
        <f t="shared" si="7"/>
        <v>-11.09174929206525</v>
      </c>
      <c r="N68" s="204">
        <f t="shared" si="8"/>
        <v>-214.21093547163815</v>
      </c>
      <c r="O68" s="203">
        <v>0</v>
      </c>
      <c r="P68" s="203">
        <v>0</v>
      </c>
      <c r="Q68" s="203">
        <v>0</v>
      </c>
      <c r="R68" s="204">
        <f t="shared" si="9"/>
        <v>-214.21093547163815</v>
      </c>
    </row>
    <row r="69" spans="1:18" x14ac:dyDescent="0.2">
      <c r="A69" s="161">
        <v>2</v>
      </c>
      <c r="B69" s="196">
        <f t="shared" si="4"/>
        <v>44593</v>
      </c>
      <c r="C69" s="217">
        <f t="shared" si="21"/>
        <v>44623</v>
      </c>
      <c r="D69" s="217">
        <f t="shared" si="21"/>
        <v>44642</v>
      </c>
      <c r="E69" s="205" t="s">
        <v>82</v>
      </c>
      <c r="F69" s="161">
        <v>9</v>
      </c>
      <c r="G69" s="198">
        <v>45</v>
      </c>
      <c r="H69" s="199">
        <f t="shared" si="5"/>
        <v>7.7465319548675735</v>
      </c>
      <c r="I69" s="199">
        <f t="shared" si="20"/>
        <v>3.5148822427931381</v>
      </c>
      <c r="J69" s="200">
        <f t="shared" si="2"/>
        <v>158.16970092569122</v>
      </c>
      <c r="K69" s="201">
        <f t="shared" si="11"/>
        <v>348.59393796904078</v>
      </c>
      <c r="L69" s="202">
        <f t="shared" si="19"/>
        <v>-190.42423704334956</v>
      </c>
      <c r="M69" s="203">
        <f t="shared" si="7"/>
        <v>-10.398514961311173</v>
      </c>
      <c r="N69" s="204">
        <f t="shared" si="8"/>
        <v>-200.82275200466074</v>
      </c>
      <c r="O69" s="203">
        <v>0</v>
      </c>
      <c r="P69" s="203">
        <v>0</v>
      </c>
      <c r="Q69" s="203">
        <v>0</v>
      </c>
      <c r="R69" s="204">
        <f t="shared" si="9"/>
        <v>-200.82275200466074</v>
      </c>
    </row>
    <row r="70" spans="1:18" x14ac:dyDescent="0.2">
      <c r="A70" s="161">
        <v>3</v>
      </c>
      <c r="B70" s="196">
        <f t="shared" si="4"/>
        <v>44621</v>
      </c>
      <c r="C70" s="217">
        <f t="shared" si="21"/>
        <v>44656</v>
      </c>
      <c r="D70" s="217">
        <f t="shared" si="21"/>
        <v>44676</v>
      </c>
      <c r="E70" s="205" t="s">
        <v>82</v>
      </c>
      <c r="F70" s="161">
        <v>9</v>
      </c>
      <c r="G70" s="198">
        <v>38</v>
      </c>
      <c r="H70" s="199">
        <f t="shared" si="5"/>
        <v>7.7465319548675735</v>
      </c>
      <c r="I70" s="199">
        <f t="shared" si="20"/>
        <v>3.5148822427931381</v>
      </c>
      <c r="J70" s="200">
        <f t="shared" si="2"/>
        <v>133.56552522613924</v>
      </c>
      <c r="K70" s="201">
        <f t="shared" si="11"/>
        <v>294.36821428496779</v>
      </c>
      <c r="L70" s="202">
        <f>+J70-K70</f>
        <v>-160.80268905882855</v>
      </c>
      <c r="M70" s="203">
        <f t="shared" si="7"/>
        <v>-8.7809681895516576</v>
      </c>
      <c r="N70" s="204">
        <f t="shared" si="8"/>
        <v>-169.58365724838021</v>
      </c>
      <c r="O70" s="203">
        <v>0</v>
      </c>
      <c r="P70" s="203">
        <v>0</v>
      </c>
      <c r="Q70" s="203">
        <v>0</v>
      </c>
      <c r="R70" s="204">
        <f t="shared" si="9"/>
        <v>-169.58365724838021</v>
      </c>
    </row>
    <row r="71" spans="1:18" x14ac:dyDescent="0.2">
      <c r="A71" s="124">
        <v>4</v>
      </c>
      <c r="B71" s="196">
        <f t="shared" si="4"/>
        <v>44652</v>
      </c>
      <c r="C71" s="217">
        <f t="shared" si="21"/>
        <v>44685</v>
      </c>
      <c r="D71" s="217">
        <f t="shared" si="21"/>
        <v>44705</v>
      </c>
      <c r="E71" s="205" t="s">
        <v>82</v>
      </c>
      <c r="F71" s="161">
        <v>9</v>
      </c>
      <c r="G71" s="198">
        <v>26</v>
      </c>
      <c r="H71" s="199">
        <f t="shared" si="5"/>
        <v>7.7465319548675735</v>
      </c>
      <c r="I71" s="199">
        <f t="shared" si="20"/>
        <v>3.5148822427931381</v>
      </c>
      <c r="J71" s="200">
        <f t="shared" si="2"/>
        <v>91.386938312621595</v>
      </c>
      <c r="K71" s="201">
        <f t="shared" si="11"/>
        <v>201.40983082655691</v>
      </c>
      <c r="L71" s="202">
        <f t="shared" ref="L71:L79" si="22">+J71-K71</f>
        <v>-110.02289251393532</v>
      </c>
      <c r="M71" s="203">
        <f t="shared" si="7"/>
        <v>-6.0080308665353437</v>
      </c>
      <c r="N71" s="204">
        <f t="shared" si="8"/>
        <v>-116.03092338047067</v>
      </c>
      <c r="O71" s="203">
        <v>0</v>
      </c>
      <c r="P71" s="203">
        <v>0</v>
      </c>
      <c r="Q71" s="203">
        <v>0</v>
      </c>
      <c r="R71" s="204">
        <f t="shared" si="9"/>
        <v>-116.03092338047067</v>
      </c>
    </row>
    <row r="72" spans="1:18" x14ac:dyDescent="0.2">
      <c r="A72" s="161">
        <v>5</v>
      </c>
      <c r="B72" s="196">
        <f t="shared" si="4"/>
        <v>44682</v>
      </c>
      <c r="C72" s="217">
        <f t="shared" si="21"/>
        <v>44715</v>
      </c>
      <c r="D72" s="217">
        <f t="shared" si="21"/>
        <v>44735</v>
      </c>
      <c r="E72" s="205" t="s">
        <v>82</v>
      </c>
      <c r="F72" s="161">
        <v>9</v>
      </c>
      <c r="G72" s="198">
        <v>43</v>
      </c>
      <c r="H72" s="199">
        <f t="shared" si="5"/>
        <v>7.7465319548675735</v>
      </c>
      <c r="I72" s="199">
        <f t="shared" si="20"/>
        <v>3.5148822427931381</v>
      </c>
      <c r="J72" s="200">
        <f t="shared" si="2"/>
        <v>151.13993644010495</v>
      </c>
      <c r="K72" s="201">
        <f t="shared" si="11"/>
        <v>333.10087405930568</v>
      </c>
      <c r="L72" s="202">
        <f t="shared" si="22"/>
        <v>-181.96093761920073</v>
      </c>
      <c r="M72" s="203">
        <f t="shared" si="7"/>
        <v>-9.9363587408084548</v>
      </c>
      <c r="N72" s="204">
        <f t="shared" si="8"/>
        <v>-191.89729636000919</v>
      </c>
      <c r="O72" s="203">
        <v>0</v>
      </c>
      <c r="P72" s="203">
        <v>0</v>
      </c>
      <c r="Q72" s="203">
        <v>0</v>
      </c>
      <c r="R72" s="204">
        <f t="shared" si="9"/>
        <v>-191.89729636000919</v>
      </c>
    </row>
    <row r="73" spans="1:18" x14ac:dyDescent="0.2">
      <c r="A73" s="161">
        <v>6</v>
      </c>
      <c r="B73" s="196">
        <f t="shared" si="4"/>
        <v>44713</v>
      </c>
      <c r="C73" s="217">
        <f t="shared" si="21"/>
        <v>44747</v>
      </c>
      <c r="D73" s="217">
        <f t="shared" si="21"/>
        <v>44767</v>
      </c>
      <c r="E73" s="205" t="s">
        <v>82</v>
      </c>
      <c r="F73" s="161">
        <v>9</v>
      </c>
      <c r="G73" s="198">
        <v>54</v>
      </c>
      <c r="H73" s="199">
        <f t="shared" si="5"/>
        <v>7.7465319548675735</v>
      </c>
      <c r="I73" s="199">
        <f t="shared" si="20"/>
        <v>3.5148822427931381</v>
      </c>
      <c r="J73" s="200">
        <f t="shared" si="2"/>
        <v>189.80364111082946</v>
      </c>
      <c r="K73" s="201">
        <f t="shared" si="11"/>
        <v>418.31272556284898</v>
      </c>
      <c r="L73" s="206">
        <f t="shared" si="22"/>
        <v>-228.50908445201952</v>
      </c>
      <c r="M73" s="203">
        <f t="shared" si="7"/>
        <v>-12.478217953573408</v>
      </c>
      <c r="N73" s="204">
        <f t="shared" si="8"/>
        <v>-240.98730240559294</v>
      </c>
      <c r="O73" s="203">
        <v>0</v>
      </c>
      <c r="P73" s="203">
        <v>0</v>
      </c>
      <c r="Q73" s="203">
        <v>0</v>
      </c>
      <c r="R73" s="204">
        <f t="shared" si="9"/>
        <v>-240.98730240559294</v>
      </c>
    </row>
    <row r="74" spans="1:18" x14ac:dyDescent="0.2">
      <c r="A74" s="124">
        <v>7</v>
      </c>
      <c r="B74" s="196">
        <f t="shared" si="4"/>
        <v>44743</v>
      </c>
      <c r="C74" s="217">
        <f t="shared" si="21"/>
        <v>44776</v>
      </c>
      <c r="D74" s="217">
        <f t="shared" si="21"/>
        <v>44796</v>
      </c>
      <c r="E74" s="205" t="s">
        <v>82</v>
      </c>
      <c r="F74" s="161">
        <v>9</v>
      </c>
      <c r="G74" s="198">
        <v>57</v>
      </c>
      <c r="H74" s="199">
        <f t="shared" si="5"/>
        <v>7.7465319548675735</v>
      </c>
      <c r="I74" s="199">
        <f t="shared" si="20"/>
        <v>3.5148822427931381</v>
      </c>
      <c r="J74" s="200">
        <f t="shared" si="2"/>
        <v>200.34828783920887</v>
      </c>
      <c r="K74" s="207">
        <f t="shared" si="11"/>
        <v>441.55232142745172</v>
      </c>
      <c r="L74" s="206">
        <f t="shared" si="22"/>
        <v>-241.20403358824285</v>
      </c>
      <c r="M74" s="203">
        <f t="shared" si="7"/>
        <v>-13.171452284327485</v>
      </c>
      <c r="N74" s="204">
        <f t="shared" si="8"/>
        <v>-254.37548587257032</v>
      </c>
      <c r="O74" s="203">
        <v>0</v>
      </c>
      <c r="P74" s="203">
        <v>0</v>
      </c>
      <c r="Q74" s="203">
        <v>0</v>
      </c>
      <c r="R74" s="204">
        <f t="shared" si="9"/>
        <v>-254.37548587257032</v>
      </c>
    </row>
    <row r="75" spans="1:18" x14ac:dyDescent="0.2">
      <c r="A75" s="161">
        <v>8</v>
      </c>
      <c r="B75" s="196">
        <f t="shared" si="4"/>
        <v>44774</v>
      </c>
      <c r="C75" s="217">
        <f t="shared" si="21"/>
        <v>44809</v>
      </c>
      <c r="D75" s="217">
        <f t="shared" si="21"/>
        <v>44827</v>
      </c>
      <c r="E75" s="205" t="s">
        <v>82</v>
      </c>
      <c r="F75" s="161">
        <v>9</v>
      </c>
      <c r="G75" s="198">
        <v>54</v>
      </c>
      <c r="H75" s="199">
        <f t="shared" si="5"/>
        <v>7.7465319548675735</v>
      </c>
      <c r="I75" s="199">
        <f t="shared" si="20"/>
        <v>3.5148822427931381</v>
      </c>
      <c r="J75" s="200">
        <f t="shared" si="2"/>
        <v>189.80364111082946</v>
      </c>
      <c r="K75" s="207">
        <f t="shared" si="11"/>
        <v>418.31272556284898</v>
      </c>
      <c r="L75" s="206">
        <f t="shared" si="22"/>
        <v>-228.50908445201952</v>
      </c>
      <c r="M75" s="203">
        <f t="shared" si="7"/>
        <v>-12.478217953573408</v>
      </c>
      <c r="N75" s="204">
        <f t="shared" si="8"/>
        <v>-240.98730240559294</v>
      </c>
      <c r="O75" s="203">
        <v>0</v>
      </c>
      <c r="P75" s="203">
        <v>0</v>
      </c>
      <c r="Q75" s="203">
        <v>0</v>
      </c>
      <c r="R75" s="204">
        <f t="shared" si="9"/>
        <v>-240.98730240559294</v>
      </c>
    </row>
    <row r="76" spans="1:18" x14ac:dyDescent="0.2">
      <c r="A76" s="161">
        <v>9</v>
      </c>
      <c r="B76" s="196">
        <f t="shared" si="4"/>
        <v>44805</v>
      </c>
      <c r="C76" s="217">
        <f t="shared" si="21"/>
        <v>44839</v>
      </c>
      <c r="D76" s="217">
        <f t="shared" si="21"/>
        <v>44859</v>
      </c>
      <c r="E76" s="205" t="s">
        <v>82</v>
      </c>
      <c r="F76" s="161">
        <v>9</v>
      </c>
      <c r="G76" s="198">
        <v>53</v>
      </c>
      <c r="H76" s="199">
        <f t="shared" si="5"/>
        <v>7.7465319548675735</v>
      </c>
      <c r="I76" s="199">
        <f t="shared" si="20"/>
        <v>3.5148822427931381</v>
      </c>
      <c r="J76" s="200">
        <f t="shared" si="2"/>
        <v>186.28875886803633</v>
      </c>
      <c r="K76" s="207">
        <f t="shared" si="11"/>
        <v>410.5661936079814</v>
      </c>
      <c r="L76" s="206">
        <f t="shared" si="22"/>
        <v>-224.27743473994508</v>
      </c>
      <c r="M76" s="203">
        <f t="shared" si="7"/>
        <v>-12.247139843322048</v>
      </c>
      <c r="N76" s="204">
        <f t="shared" si="8"/>
        <v>-236.52457458326714</v>
      </c>
      <c r="O76" s="203">
        <v>0</v>
      </c>
      <c r="P76" s="203">
        <v>0</v>
      </c>
      <c r="Q76" s="203">
        <v>0</v>
      </c>
      <c r="R76" s="204">
        <f t="shared" si="9"/>
        <v>-236.52457458326714</v>
      </c>
    </row>
    <row r="77" spans="1:18" x14ac:dyDescent="0.2">
      <c r="A77" s="124">
        <v>10</v>
      </c>
      <c r="B77" s="196">
        <f t="shared" si="4"/>
        <v>44835</v>
      </c>
      <c r="C77" s="217">
        <f t="shared" si="21"/>
        <v>44868</v>
      </c>
      <c r="D77" s="217">
        <f t="shared" si="21"/>
        <v>44888</v>
      </c>
      <c r="E77" s="205" t="s">
        <v>82</v>
      </c>
      <c r="F77" s="161">
        <v>9</v>
      </c>
      <c r="G77" s="198">
        <v>31</v>
      </c>
      <c r="H77" s="199">
        <f t="shared" si="5"/>
        <v>7.7465319548675735</v>
      </c>
      <c r="I77" s="199">
        <f t="shared" si="20"/>
        <v>3.5148822427931381</v>
      </c>
      <c r="J77" s="200">
        <f t="shared" si="2"/>
        <v>108.96134952658728</v>
      </c>
      <c r="K77" s="207">
        <f t="shared" si="11"/>
        <v>240.14249060089477</v>
      </c>
      <c r="L77" s="206">
        <f t="shared" si="22"/>
        <v>-131.1811410743075</v>
      </c>
      <c r="M77" s="203">
        <f t="shared" si="7"/>
        <v>-7.1634214177921409</v>
      </c>
      <c r="N77" s="204">
        <f t="shared" si="8"/>
        <v>-138.34456249209964</v>
      </c>
      <c r="O77" s="203">
        <v>0</v>
      </c>
      <c r="P77" s="203">
        <v>0</v>
      </c>
      <c r="Q77" s="203">
        <v>0</v>
      </c>
      <c r="R77" s="204">
        <f t="shared" si="9"/>
        <v>-138.34456249209964</v>
      </c>
    </row>
    <row r="78" spans="1:18" x14ac:dyDescent="0.2">
      <c r="A78" s="161">
        <v>11</v>
      </c>
      <c r="B78" s="196">
        <f t="shared" si="4"/>
        <v>44866</v>
      </c>
      <c r="C78" s="217">
        <f t="shared" si="21"/>
        <v>44900</v>
      </c>
      <c r="D78" s="217">
        <f t="shared" si="21"/>
        <v>44918</v>
      </c>
      <c r="E78" s="205" t="s">
        <v>82</v>
      </c>
      <c r="F78" s="161">
        <v>9</v>
      </c>
      <c r="G78" s="198">
        <v>38</v>
      </c>
      <c r="H78" s="199">
        <f t="shared" si="5"/>
        <v>7.7465319548675735</v>
      </c>
      <c r="I78" s="199">
        <f t="shared" si="20"/>
        <v>3.5148822427931381</v>
      </c>
      <c r="J78" s="200">
        <f t="shared" si="2"/>
        <v>133.56552522613924</v>
      </c>
      <c r="K78" s="207">
        <f>+$G78*H78</f>
        <v>294.36821428496779</v>
      </c>
      <c r="L78" s="206">
        <f t="shared" si="22"/>
        <v>-160.80268905882855</v>
      </c>
      <c r="M78" s="203">
        <f t="shared" si="7"/>
        <v>-8.7809681895516576</v>
      </c>
      <c r="N78" s="204">
        <f t="shared" si="8"/>
        <v>-169.58365724838021</v>
      </c>
      <c r="O78" s="203">
        <v>0</v>
      </c>
      <c r="P78" s="203">
        <v>0</v>
      </c>
      <c r="Q78" s="203">
        <v>0</v>
      </c>
      <c r="R78" s="204">
        <f t="shared" si="9"/>
        <v>-169.58365724838021</v>
      </c>
    </row>
    <row r="79" spans="1:18" s="221" customFormat="1" x14ac:dyDescent="0.2">
      <c r="A79" s="161">
        <v>12</v>
      </c>
      <c r="B79" s="219">
        <f t="shared" si="4"/>
        <v>44896</v>
      </c>
      <c r="C79" s="222">
        <f t="shared" si="21"/>
        <v>44930</v>
      </c>
      <c r="D79" s="222">
        <f t="shared" si="21"/>
        <v>44950</v>
      </c>
      <c r="E79" s="223" t="s">
        <v>82</v>
      </c>
      <c r="F79" s="172">
        <v>9</v>
      </c>
      <c r="G79" s="208">
        <v>58</v>
      </c>
      <c r="H79" s="209">
        <f t="shared" si="5"/>
        <v>7.7465319548675735</v>
      </c>
      <c r="I79" s="209">
        <f t="shared" si="20"/>
        <v>3.5148822427931381</v>
      </c>
      <c r="J79" s="210">
        <f t="shared" si="2"/>
        <v>203.863170082002</v>
      </c>
      <c r="K79" s="211">
        <f>+$G79*H79</f>
        <v>449.29885338231924</v>
      </c>
      <c r="L79" s="212">
        <f t="shared" si="22"/>
        <v>-245.43568330031724</v>
      </c>
      <c r="M79" s="203">
        <f t="shared" si="7"/>
        <v>-13.402530394578845</v>
      </c>
      <c r="N79" s="204">
        <f t="shared" si="8"/>
        <v>-258.83821369489607</v>
      </c>
      <c r="O79" s="203">
        <v>0</v>
      </c>
      <c r="P79" s="203">
        <v>0</v>
      </c>
      <c r="Q79" s="203">
        <v>0</v>
      </c>
      <c r="R79" s="204">
        <f t="shared" si="9"/>
        <v>-258.83821369489607</v>
      </c>
    </row>
    <row r="80" spans="1:18" s="52" customFormat="1" ht="12.75" customHeight="1" x14ac:dyDescent="0.2">
      <c r="A80" s="124">
        <v>1</v>
      </c>
      <c r="B80" s="196">
        <f t="shared" si="4"/>
        <v>44562</v>
      </c>
      <c r="C80" s="214">
        <f t="shared" ref="C80:D91" si="23">+C56</f>
        <v>44595</v>
      </c>
      <c r="D80" s="214">
        <f t="shared" si="23"/>
        <v>44615</v>
      </c>
      <c r="E80" s="197" t="s">
        <v>9</v>
      </c>
      <c r="F80" s="124">
        <v>9</v>
      </c>
      <c r="G80" s="198">
        <v>50</v>
      </c>
      <c r="H80" s="199">
        <f t="shared" si="5"/>
        <v>7.7465319548675735</v>
      </c>
      <c r="I80" s="199">
        <f t="shared" si="20"/>
        <v>3.5148822427931381</v>
      </c>
      <c r="J80" s="200">
        <f t="shared" si="2"/>
        <v>175.74411213965689</v>
      </c>
      <c r="K80" s="201">
        <f t="shared" si="11"/>
        <v>387.32659774337867</v>
      </c>
      <c r="L80" s="202">
        <f t="shared" si="19"/>
        <v>-211.58248560372178</v>
      </c>
      <c r="M80" s="203">
        <f t="shared" si="7"/>
        <v>-11.553905512567969</v>
      </c>
      <c r="N80" s="204">
        <f t="shared" si="8"/>
        <v>-223.13639111628976</v>
      </c>
      <c r="O80" s="203">
        <v>0</v>
      </c>
      <c r="P80" s="203">
        <v>0</v>
      </c>
      <c r="Q80" s="203">
        <v>0</v>
      </c>
      <c r="R80" s="204">
        <f t="shared" si="9"/>
        <v>-223.13639111628976</v>
      </c>
    </row>
    <row r="81" spans="1:18" x14ac:dyDescent="0.2">
      <c r="A81" s="161">
        <v>2</v>
      </c>
      <c r="B81" s="196">
        <f t="shared" si="4"/>
        <v>44593</v>
      </c>
      <c r="C81" s="217">
        <f t="shared" si="23"/>
        <v>44623</v>
      </c>
      <c r="D81" s="217">
        <f t="shared" si="23"/>
        <v>44642</v>
      </c>
      <c r="E81" s="205" t="s">
        <v>9</v>
      </c>
      <c r="F81" s="161">
        <v>9</v>
      </c>
      <c r="G81" s="198">
        <v>49</v>
      </c>
      <c r="H81" s="199">
        <f t="shared" si="5"/>
        <v>7.7465319548675735</v>
      </c>
      <c r="I81" s="199">
        <f t="shared" si="20"/>
        <v>3.5148822427931381</v>
      </c>
      <c r="J81" s="200">
        <f t="shared" si="2"/>
        <v>172.22922989686376</v>
      </c>
      <c r="K81" s="201">
        <f t="shared" si="11"/>
        <v>379.58006578851109</v>
      </c>
      <c r="L81" s="202">
        <f t="shared" si="19"/>
        <v>-207.35083589164734</v>
      </c>
      <c r="M81" s="203">
        <f t="shared" si="7"/>
        <v>-11.32282740231661</v>
      </c>
      <c r="N81" s="204">
        <f t="shared" si="8"/>
        <v>-218.67366329396395</v>
      </c>
      <c r="O81" s="203">
        <v>0</v>
      </c>
      <c r="P81" s="203">
        <v>0</v>
      </c>
      <c r="Q81" s="203">
        <v>0</v>
      </c>
      <c r="R81" s="204">
        <f t="shared" si="9"/>
        <v>-218.67366329396395</v>
      </c>
    </row>
    <row r="82" spans="1:18" x14ac:dyDescent="0.2">
      <c r="A82" s="161">
        <v>3</v>
      </c>
      <c r="B82" s="196">
        <f t="shared" si="4"/>
        <v>44621</v>
      </c>
      <c r="C82" s="217">
        <f t="shared" si="23"/>
        <v>44656</v>
      </c>
      <c r="D82" s="217">
        <f t="shared" si="23"/>
        <v>44676</v>
      </c>
      <c r="E82" s="205" t="s">
        <v>9</v>
      </c>
      <c r="F82" s="161">
        <v>9</v>
      </c>
      <c r="G82" s="198">
        <v>45</v>
      </c>
      <c r="H82" s="199">
        <f t="shared" si="5"/>
        <v>7.7465319548675735</v>
      </c>
      <c r="I82" s="199">
        <f t="shared" si="20"/>
        <v>3.5148822427931381</v>
      </c>
      <c r="J82" s="200">
        <f t="shared" si="2"/>
        <v>158.16970092569122</v>
      </c>
      <c r="K82" s="201">
        <f t="shared" si="11"/>
        <v>348.59393796904078</v>
      </c>
      <c r="L82" s="202">
        <f>+J82-K82</f>
        <v>-190.42423704334956</v>
      </c>
      <c r="M82" s="203">
        <f t="shared" si="7"/>
        <v>-10.398514961311173</v>
      </c>
      <c r="N82" s="204">
        <f t="shared" si="8"/>
        <v>-200.82275200466074</v>
      </c>
      <c r="O82" s="203">
        <v>0</v>
      </c>
      <c r="P82" s="203">
        <v>0</v>
      </c>
      <c r="Q82" s="203">
        <v>0</v>
      </c>
      <c r="R82" s="204">
        <f t="shared" si="9"/>
        <v>-200.82275200466074</v>
      </c>
    </row>
    <row r="83" spans="1:18" ht="12" customHeight="1" x14ac:dyDescent="0.2">
      <c r="A83" s="124">
        <v>4</v>
      </c>
      <c r="B83" s="196">
        <f t="shared" si="4"/>
        <v>44652</v>
      </c>
      <c r="C83" s="217">
        <f t="shared" si="23"/>
        <v>44685</v>
      </c>
      <c r="D83" s="217">
        <f t="shared" si="23"/>
        <v>44705</v>
      </c>
      <c r="E83" s="54" t="s">
        <v>9</v>
      </c>
      <c r="F83" s="161">
        <v>9</v>
      </c>
      <c r="G83" s="198">
        <v>34</v>
      </c>
      <c r="H83" s="199">
        <f t="shared" si="5"/>
        <v>7.7465319548675735</v>
      </c>
      <c r="I83" s="199">
        <f t="shared" si="20"/>
        <v>3.5148822427931381</v>
      </c>
      <c r="J83" s="200">
        <f t="shared" si="2"/>
        <v>119.50599625496669</v>
      </c>
      <c r="K83" s="201">
        <f t="shared" si="11"/>
        <v>263.38208646549748</v>
      </c>
      <c r="L83" s="202">
        <f t="shared" ref="L83:L93" si="24">+J83-K83</f>
        <v>-143.87609021053078</v>
      </c>
      <c r="M83" s="203">
        <f t="shared" si="7"/>
        <v>-7.8566557485462196</v>
      </c>
      <c r="N83" s="204">
        <f t="shared" si="8"/>
        <v>-151.73274595907699</v>
      </c>
      <c r="O83" s="203">
        <v>0</v>
      </c>
      <c r="P83" s="203">
        <v>0</v>
      </c>
      <c r="Q83" s="203">
        <v>0</v>
      </c>
      <c r="R83" s="204">
        <f t="shared" si="9"/>
        <v>-151.73274595907699</v>
      </c>
    </row>
    <row r="84" spans="1:18" ht="12" customHeight="1" x14ac:dyDescent="0.2">
      <c r="A84" s="161">
        <v>5</v>
      </c>
      <c r="B84" s="196">
        <f t="shared" si="4"/>
        <v>44682</v>
      </c>
      <c r="C84" s="217">
        <f t="shared" si="23"/>
        <v>44715</v>
      </c>
      <c r="D84" s="217">
        <f t="shared" si="23"/>
        <v>44735</v>
      </c>
      <c r="E84" s="54" t="s">
        <v>9</v>
      </c>
      <c r="F84" s="161">
        <v>9</v>
      </c>
      <c r="G84" s="198">
        <v>42</v>
      </c>
      <c r="H84" s="199">
        <f t="shared" si="5"/>
        <v>7.7465319548675735</v>
      </c>
      <c r="I84" s="199">
        <f t="shared" si="20"/>
        <v>3.5148822427931381</v>
      </c>
      <c r="J84" s="200">
        <f t="shared" si="2"/>
        <v>147.62505419731181</v>
      </c>
      <c r="K84" s="201">
        <f t="shared" si="11"/>
        <v>325.3543421044381</v>
      </c>
      <c r="L84" s="202">
        <f t="shared" si="24"/>
        <v>-177.72928790712629</v>
      </c>
      <c r="M84" s="203">
        <f t="shared" si="7"/>
        <v>-9.7052806305570947</v>
      </c>
      <c r="N84" s="204">
        <f t="shared" si="8"/>
        <v>-187.43456853768339</v>
      </c>
      <c r="O84" s="203">
        <v>0</v>
      </c>
      <c r="P84" s="203">
        <v>0</v>
      </c>
      <c r="Q84" s="203">
        <v>0</v>
      </c>
      <c r="R84" s="204">
        <f t="shared" si="9"/>
        <v>-187.43456853768339</v>
      </c>
    </row>
    <row r="85" spans="1:18" x14ac:dyDescent="0.2">
      <c r="A85" s="161">
        <v>6</v>
      </c>
      <c r="B85" s="196">
        <f t="shared" si="4"/>
        <v>44713</v>
      </c>
      <c r="C85" s="217">
        <f t="shared" si="23"/>
        <v>44747</v>
      </c>
      <c r="D85" s="217">
        <f t="shared" si="23"/>
        <v>44767</v>
      </c>
      <c r="E85" s="54" t="s">
        <v>9</v>
      </c>
      <c r="F85" s="161">
        <v>9</v>
      </c>
      <c r="G85" s="198">
        <v>49</v>
      </c>
      <c r="H85" s="199">
        <f t="shared" ref="H85:H148" si="25">+$K$3</f>
        <v>7.7465319548675735</v>
      </c>
      <c r="I85" s="199">
        <f t="shared" si="20"/>
        <v>3.5148822427931381</v>
      </c>
      <c r="J85" s="200">
        <f t="shared" si="2"/>
        <v>172.22922989686376</v>
      </c>
      <c r="K85" s="201">
        <f t="shared" si="11"/>
        <v>379.58006578851109</v>
      </c>
      <c r="L85" s="206">
        <f t="shared" si="24"/>
        <v>-207.35083589164734</v>
      </c>
      <c r="M85" s="203">
        <f t="shared" ref="M85:M148" si="26">G85/$G$212*$M$14</f>
        <v>-11.32282740231661</v>
      </c>
      <c r="N85" s="204">
        <f t="shared" ref="N85:N148" si="27">SUM(L85:M85)</f>
        <v>-218.67366329396395</v>
      </c>
      <c r="O85" s="203">
        <v>0</v>
      </c>
      <c r="P85" s="203">
        <v>0</v>
      </c>
      <c r="Q85" s="203">
        <v>0</v>
      </c>
      <c r="R85" s="204">
        <f t="shared" ref="R85:R148" si="28">+N85-Q85</f>
        <v>-218.67366329396395</v>
      </c>
    </row>
    <row r="86" spans="1:18" x14ac:dyDescent="0.2">
      <c r="A86" s="124">
        <v>7</v>
      </c>
      <c r="B86" s="196">
        <f t="shared" si="4"/>
        <v>44743</v>
      </c>
      <c r="C86" s="217">
        <f t="shared" si="23"/>
        <v>44776</v>
      </c>
      <c r="D86" s="217">
        <f t="shared" si="23"/>
        <v>44796</v>
      </c>
      <c r="E86" s="54" t="s">
        <v>9</v>
      </c>
      <c r="F86" s="161">
        <v>9</v>
      </c>
      <c r="G86" s="198">
        <v>54</v>
      </c>
      <c r="H86" s="199">
        <f t="shared" si="25"/>
        <v>7.7465319548675735</v>
      </c>
      <c r="I86" s="199">
        <f t="shared" si="20"/>
        <v>3.5148822427931381</v>
      </c>
      <c r="J86" s="200">
        <f t="shared" si="2"/>
        <v>189.80364111082946</v>
      </c>
      <c r="K86" s="207">
        <f t="shared" si="11"/>
        <v>418.31272556284898</v>
      </c>
      <c r="L86" s="206">
        <f t="shared" si="24"/>
        <v>-228.50908445201952</v>
      </c>
      <c r="M86" s="203">
        <f t="shared" si="26"/>
        <v>-12.478217953573408</v>
      </c>
      <c r="N86" s="204">
        <f t="shared" si="27"/>
        <v>-240.98730240559294</v>
      </c>
      <c r="O86" s="203">
        <v>0</v>
      </c>
      <c r="P86" s="203">
        <v>0</v>
      </c>
      <c r="Q86" s="203">
        <v>0</v>
      </c>
      <c r="R86" s="204">
        <f t="shared" si="28"/>
        <v>-240.98730240559294</v>
      </c>
    </row>
    <row r="87" spans="1:18" x14ac:dyDescent="0.2">
      <c r="A87" s="161">
        <v>8</v>
      </c>
      <c r="B87" s="196">
        <f t="shared" si="4"/>
        <v>44774</v>
      </c>
      <c r="C87" s="217">
        <f t="shared" si="23"/>
        <v>44809</v>
      </c>
      <c r="D87" s="217">
        <f t="shared" si="23"/>
        <v>44827</v>
      </c>
      <c r="E87" s="54" t="s">
        <v>9</v>
      </c>
      <c r="F87" s="161">
        <v>9</v>
      </c>
      <c r="G87" s="198">
        <v>47</v>
      </c>
      <c r="H87" s="199">
        <f t="shared" si="25"/>
        <v>7.7465319548675735</v>
      </c>
      <c r="I87" s="199">
        <f t="shared" si="20"/>
        <v>3.5148822427931381</v>
      </c>
      <c r="J87" s="200">
        <f t="shared" si="2"/>
        <v>165.19946541127749</v>
      </c>
      <c r="K87" s="207">
        <f t="shared" si="11"/>
        <v>364.08700187877594</v>
      </c>
      <c r="L87" s="206">
        <f t="shared" si="24"/>
        <v>-198.88753646749845</v>
      </c>
      <c r="M87" s="203">
        <f t="shared" si="26"/>
        <v>-10.860671181813892</v>
      </c>
      <c r="N87" s="204">
        <f t="shared" si="27"/>
        <v>-209.74820764931235</v>
      </c>
      <c r="O87" s="203">
        <v>0</v>
      </c>
      <c r="P87" s="203">
        <v>0</v>
      </c>
      <c r="Q87" s="203">
        <v>0</v>
      </c>
      <c r="R87" s="204">
        <f t="shared" si="28"/>
        <v>-209.74820764931235</v>
      </c>
    </row>
    <row r="88" spans="1:18" x14ac:dyDescent="0.2">
      <c r="A88" s="161">
        <v>9</v>
      </c>
      <c r="B88" s="196">
        <f t="shared" si="4"/>
        <v>44805</v>
      </c>
      <c r="C88" s="217">
        <f t="shared" si="23"/>
        <v>44839</v>
      </c>
      <c r="D88" s="217">
        <f t="shared" si="23"/>
        <v>44859</v>
      </c>
      <c r="E88" s="54" t="s">
        <v>9</v>
      </c>
      <c r="F88" s="161">
        <v>9</v>
      </c>
      <c r="G88" s="198">
        <v>47</v>
      </c>
      <c r="H88" s="199">
        <f t="shared" si="25"/>
        <v>7.7465319548675735</v>
      </c>
      <c r="I88" s="199">
        <f t="shared" si="20"/>
        <v>3.5148822427931381</v>
      </c>
      <c r="J88" s="200">
        <f t="shared" si="2"/>
        <v>165.19946541127749</v>
      </c>
      <c r="K88" s="207">
        <f t="shared" si="11"/>
        <v>364.08700187877594</v>
      </c>
      <c r="L88" s="206">
        <f t="shared" si="24"/>
        <v>-198.88753646749845</v>
      </c>
      <c r="M88" s="203">
        <f t="shared" si="26"/>
        <v>-10.860671181813892</v>
      </c>
      <c r="N88" s="204">
        <f t="shared" si="27"/>
        <v>-209.74820764931235</v>
      </c>
      <c r="O88" s="203">
        <v>0</v>
      </c>
      <c r="P88" s="203">
        <v>0</v>
      </c>
      <c r="Q88" s="203">
        <v>0</v>
      </c>
      <c r="R88" s="204">
        <f t="shared" si="28"/>
        <v>-209.74820764931235</v>
      </c>
    </row>
    <row r="89" spans="1:18" x14ac:dyDescent="0.2">
      <c r="A89" s="124">
        <v>10</v>
      </c>
      <c r="B89" s="196">
        <f t="shared" si="4"/>
        <v>44835</v>
      </c>
      <c r="C89" s="217">
        <f t="shared" si="23"/>
        <v>44868</v>
      </c>
      <c r="D89" s="217">
        <f t="shared" si="23"/>
        <v>44888</v>
      </c>
      <c r="E89" s="54" t="s">
        <v>9</v>
      </c>
      <c r="F89" s="161">
        <v>9</v>
      </c>
      <c r="G89" s="198">
        <v>39</v>
      </c>
      <c r="H89" s="199">
        <f t="shared" si="25"/>
        <v>7.7465319548675735</v>
      </c>
      <c r="I89" s="199">
        <f t="shared" si="20"/>
        <v>3.5148822427931381</v>
      </c>
      <c r="J89" s="200">
        <f t="shared" si="2"/>
        <v>137.08040746893238</v>
      </c>
      <c r="K89" s="207">
        <f t="shared" si="11"/>
        <v>302.11474623983537</v>
      </c>
      <c r="L89" s="206">
        <f t="shared" si="24"/>
        <v>-165.03433877090299</v>
      </c>
      <c r="M89" s="203">
        <f t="shared" si="26"/>
        <v>-9.012046299803016</v>
      </c>
      <c r="N89" s="204">
        <f t="shared" si="27"/>
        <v>-174.04638507070601</v>
      </c>
      <c r="O89" s="203">
        <v>0</v>
      </c>
      <c r="P89" s="203">
        <v>0</v>
      </c>
      <c r="Q89" s="203">
        <v>0</v>
      </c>
      <c r="R89" s="204">
        <f t="shared" si="28"/>
        <v>-174.04638507070601</v>
      </c>
    </row>
    <row r="90" spans="1:18" x14ac:dyDescent="0.2">
      <c r="A90" s="161">
        <v>11</v>
      </c>
      <c r="B90" s="196">
        <f t="shared" si="4"/>
        <v>44866</v>
      </c>
      <c r="C90" s="217">
        <f t="shared" si="23"/>
        <v>44900</v>
      </c>
      <c r="D90" s="217">
        <f t="shared" si="23"/>
        <v>44918</v>
      </c>
      <c r="E90" s="54" t="s">
        <v>9</v>
      </c>
      <c r="F90" s="161">
        <v>9</v>
      </c>
      <c r="G90" s="198">
        <v>45</v>
      </c>
      <c r="H90" s="199">
        <f t="shared" si="25"/>
        <v>7.7465319548675735</v>
      </c>
      <c r="I90" s="199">
        <f t="shared" si="20"/>
        <v>3.5148822427931381</v>
      </c>
      <c r="J90" s="200">
        <f t="shared" si="2"/>
        <v>158.16970092569122</v>
      </c>
      <c r="K90" s="207">
        <f t="shared" si="11"/>
        <v>348.59393796904078</v>
      </c>
      <c r="L90" s="206">
        <f t="shared" si="24"/>
        <v>-190.42423704334956</v>
      </c>
      <c r="M90" s="203">
        <f t="shared" si="26"/>
        <v>-10.398514961311173</v>
      </c>
      <c r="N90" s="204">
        <f t="shared" si="27"/>
        <v>-200.82275200466074</v>
      </c>
      <c r="O90" s="203">
        <v>0</v>
      </c>
      <c r="P90" s="203">
        <v>0</v>
      </c>
      <c r="Q90" s="203">
        <v>0</v>
      </c>
      <c r="R90" s="204">
        <f t="shared" si="28"/>
        <v>-200.82275200466074</v>
      </c>
    </row>
    <row r="91" spans="1:18" s="221" customFormat="1" x14ac:dyDescent="0.2">
      <c r="A91" s="161">
        <v>12</v>
      </c>
      <c r="B91" s="219">
        <f t="shared" si="4"/>
        <v>44896</v>
      </c>
      <c r="C91" s="217">
        <f t="shared" si="23"/>
        <v>44930</v>
      </c>
      <c r="D91" s="217">
        <f t="shared" si="23"/>
        <v>44950</v>
      </c>
      <c r="E91" s="220" t="s">
        <v>9</v>
      </c>
      <c r="F91" s="172">
        <v>9</v>
      </c>
      <c r="G91" s="208">
        <v>61</v>
      </c>
      <c r="H91" s="209">
        <f t="shared" si="25"/>
        <v>7.7465319548675735</v>
      </c>
      <c r="I91" s="209">
        <f t="shared" si="20"/>
        <v>3.5148822427931381</v>
      </c>
      <c r="J91" s="210">
        <f t="shared" si="2"/>
        <v>214.40781681038143</v>
      </c>
      <c r="K91" s="211">
        <f t="shared" si="11"/>
        <v>472.53844924692197</v>
      </c>
      <c r="L91" s="212">
        <f t="shared" si="24"/>
        <v>-258.13063243654051</v>
      </c>
      <c r="M91" s="203">
        <f t="shared" si="26"/>
        <v>-14.095764725332922</v>
      </c>
      <c r="N91" s="204">
        <f t="shared" si="27"/>
        <v>-272.22639716187342</v>
      </c>
      <c r="O91" s="203">
        <v>0</v>
      </c>
      <c r="P91" s="203">
        <v>0</v>
      </c>
      <c r="Q91" s="203">
        <v>0</v>
      </c>
      <c r="R91" s="204">
        <f t="shared" si="28"/>
        <v>-272.22639716187342</v>
      </c>
    </row>
    <row r="92" spans="1:18" x14ac:dyDescent="0.2">
      <c r="A92" s="124">
        <v>1</v>
      </c>
      <c r="B92" s="196">
        <f t="shared" si="4"/>
        <v>44562</v>
      </c>
      <c r="C92" s="214">
        <f t="shared" ref="C92:D95" si="29">+C80</f>
        <v>44595</v>
      </c>
      <c r="D92" s="214">
        <f t="shared" si="29"/>
        <v>44615</v>
      </c>
      <c r="E92" s="197" t="s">
        <v>8</v>
      </c>
      <c r="F92" s="124">
        <v>9</v>
      </c>
      <c r="G92" s="198">
        <v>92</v>
      </c>
      <c r="H92" s="199">
        <f t="shared" si="25"/>
        <v>7.7465319548675735</v>
      </c>
      <c r="I92" s="199">
        <f t="shared" si="20"/>
        <v>3.5148822427931381</v>
      </c>
      <c r="J92" s="200">
        <f t="shared" si="2"/>
        <v>323.3691663369687</v>
      </c>
      <c r="K92" s="201">
        <f t="shared" si="11"/>
        <v>712.68093984781672</v>
      </c>
      <c r="L92" s="202">
        <f t="shared" si="24"/>
        <v>-389.31177351084801</v>
      </c>
      <c r="M92" s="203">
        <f t="shared" si="26"/>
        <v>-21.259186143125063</v>
      </c>
      <c r="N92" s="204">
        <f t="shared" si="27"/>
        <v>-410.57095965397309</v>
      </c>
      <c r="O92" s="203">
        <v>0</v>
      </c>
      <c r="P92" s="203">
        <v>0</v>
      </c>
      <c r="Q92" s="203">
        <v>0</v>
      </c>
      <c r="R92" s="204">
        <f t="shared" si="28"/>
        <v>-410.57095965397309</v>
      </c>
    </row>
    <row r="93" spans="1:18" x14ac:dyDescent="0.2">
      <c r="A93" s="161">
        <v>2</v>
      </c>
      <c r="B93" s="196">
        <f t="shared" si="4"/>
        <v>44593</v>
      </c>
      <c r="C93" s="217">
        <f t="shared" si="29"/>
        <v>44623</v>
      </c>
      <c r="D93" s="217">
        <f t="shared" si="29"/>
        <v>44642</v>
      </c>
      <c r="E93" s="205" t="s">
        <v>8</v>
      </c>
      <c r="F93" s="161">
        <v>9</v>
      </c>
      <c r="G93" s="198">
        <v>88</v>
      </c>
      <c r="H93" s="199">
        <f t="shared" si="25"/>
        <v>7.7465319548675735</v>
      </c>
      <c r="I93" s="199">
        <f t="shared" si="20"/>
        <v>3.5148822427931381</v>
      </c>
      <c r="J93" s="200">
        <f t="shared" si="2"/>
        <v>309.30963736579616</v>
      </c>
      <c r="K93" s="201">
        <f t="shared" si="11"/>
        <v>681.69481202834652</v>
      </c>
      <c r="L93" s="202">
        <f t="shared" si="24"/>
        <v>-372.38517466255036</v>
      </c>
      <c r="M93" s="203">
        <f t="shared" si="26"/>
        <v>-20.334873702119626</v>
      </c>
      <c r="N93" s="204">
        <f t="shared" si="27"/>
        <v>-392.72004836466999</v>
      </c>
      <c r="O93" s="203">
        <v>0</v>
      </c>
      <c r="P93" s="203">
        <v>0</v>
      </c>
      <c r="Q93" s="203">
        <v>0</v>
      </c>
      <c r="R93" s="204">
        <f t="shared" si="28"/>
        <v>-392.72004836466999</v>
      </c>
    </row>
    <row r="94" spans="1:18" x14ac:dyDescent="0.2">
      <c r="A94" s="161">
        <v>3</v>
      </c>
      <c r="B94" s="196">
        <f t="shared" si="4"/>
        <v>44621</v>
      </c>
      <c r="C94" s="217">
        <f t="shared" si="29"/>
        <v>44656</v>
      </c>
      <c r="D94" s="217">
        <f t="shared" si="29"/>
        <v>44676</v>
      </c>
      <c r="E94" s="205" t="s">
        <v>8</v>
      </c>
      <c r="F94" s="161">
        <v>9</v>
      </c>
      <c r="G94" s="198">
        <v>71</v>
      </c>
      <c r="H94" s="199">
        <f t="shared" si="25"/>
        <v>7.7465319548675735</v>
      </c>
      <c r="I94" s="199">
        <f t="shared" si="20"/>
        <v>3.5148822427931381</v>
      </c>
      <c r="J94" s="200">
        <f t="shared" si="2"/>
        <v>249.55663923831281</v>
      </c>
      <c r="K94" s="201">
        <f t="shared" ref="K94:K133" si="30">+$G94*H94</f>
        <v>550.00376879559769</v>
      </c>
      <c r="L94" s="202">
        <f>+J94-K94</f>
        <v>-300.44712955728488</v>
      </c>
      <c r="M94" s="203">
        <f t="shared" si="26"/>
        <v>-16.406545827846518</v>
      </c>
      <c r="N94" s="204">
        <f t="shared" si="27"/>
        <v>-316.8536753851314</v>
      </c>
      <c r="O94" s="203">
        <v>0</v>
      </c>
      <c r="P94" s="203">
        <v>0</v>
      </c>
      <c r="Q94" s="203">
        <v>0</v>
      </c>
      <c r="R94" s="204">
        <f t="shared" si="28"/>
        <v>-316.8536753851314</v>
      </c>
    </row>
    <row r="95" spans="1:18" x14ac:dyDescent="0.2">
      <c r="A95" s="124">
        <v>4</v>
      </c>
      <c r="B95" s="196">
        <f t="shared" si="4"/>
        <v>44652</v>
      </c>
      <c r="C95" s="217">
        <f t="shared" si="29"/>
        <v>44685</v>
      </c>
      <c r="D95" s="217">
        <f t="shared" si="29"/>
        <v>44705</v>
      </c>
      <c r="E95" s="205" t="s">
        <v>8</v>
      </c>
      <c r="F95" s="161">
        <v>9</v>
      </c>
      <c r="G95" s="198">
        <v>76</v>
      </c>
      <c r="H95" s="199">
        <f t="shared" si="25"/>
        <v>7.7465319548675735</v>
      </c>
      <c r="I95" s="199">
        <f t="shared" si="20"/>
        <v>3.5148822427931381</v>
      </c>
      <c r="J95" s="200">
        <f t="shared" si="2"/>
        <v>267.13105045227849</v>
      </c>
      <c r="K95" s="201">
        <f t="shared" si="30"/>
        <v>588.73642856993558</v>
      </c>
      <c r="L95" s="202">
        <f t="shared" ref="L95:L105" si="31">+J95-K95</f>
        <v>-321.6053781176571</v>
      </c>
      <c r="M95" s="203">
        <f t="shared" si="26"/>
        <v>-17.561936379103315</v>
      </c>
      <c r="N95" s="204">
        <f t="shared" si="27"/>
        <v>-339.16731449676041</v>
      </c>
      <c r="O95" s="203">
        <v>0</v>
      </c>
      <c r="P95" s="203">
        <v>0</v>
      </c>
      <c r="Q95" s="203">
        <v>0</v>
      </c>
      <c r="R95" s="204">
        <f t="shared" si="28"/>
        <v>-339.16731449676041</v>
      </c>
    </row>
    <row r="96" spans="1:18" x14ac:dyDescent="0.2">
      <c r="A96" s="161">
        <v>5</v>
      </c>
      <c r="B96" s="196">
        <f t="shared" si="4"/>
        <v>44682</v>
      </c>
      <c r="C96" s="217">
        <f t="shared" ref="C96:D116" si="32">+C84</f>
        <v>44715</v>
      </c>
      <c r="D96" s="217">
        <f t="shared" si="32"/>
        <v>44735</v>
      </c>
      <c r="E96" s="54" t="s">
        <v>8</v>
      </c>
      <c r="F96" s="161">
        <v>9</v>
      </c>
      <c r="G96" s="198">
        <v>134</v>
      </c>
      <c r="H96" s="199">
        <f t="shared" si="25"/>
        <v>7.7465319548675735</v>
      </c>
      <c r="I96" s="199">
        <f t="shared" si="20"/>
        <v>3.5148822427931381</v>
      </c>
      <c r="J96" s="200">
        <f t="shared" si="2"/>
        <v>470.99422053428049</v>
      </c>
      <c r="K96" s="201">
        <f t="shared" si="30"/>
        <v>1038.0352819522548</v>
      </c>
      <c r="L96" s="202">
        <f t="shared" si="31"/>
        <v>-567.04106141797433</v>
      </c>
      <c r="M96" s="203">
        <f t="shared" si="26"/>
        <v>-30.964466773682158</v>
      </c>
      <c r="N96" s="204">
        <f t="shared" si="27"/>
        <v>-598.00552819165648</v>
      </c>
      <c r="O96" s="203">
        <v>0</v>
      </c>
      <c r="P96" s="203">
        <v>0</v>
      </c>
      <c r="Q96" s="203">
        <v>0</v>
      </c>
      <c r="R96" s="204">
        <f t="shared" si="28"/>
        <v>-598.00552819165648</v>
      </c>
    </row>
    <row r="97" spans="1:18" x14ac:dyDescent="0.2">
      <c r="A97" s="161">
        <v>6</v>
      </c>
      <c r="B97" s="196">
        <f t="shared" si="4"/>
        <v>44713</v>
      </c>
      <c r="C97" s="217">
        <f t="shared" si="32"/>
        <v>44747</v>
      </c>
      <c r="D97" s="217">
        <f t="shared" si="32"/>
        <v>44767</v>
      </c>
      <c r="E97" s="54" t="s">
        <v>8</v>
      </c>
      <c r="F97" s="161">
        <v>9</v>
      </c>
      <c r="G97" s="198">
        <v>145</v>
      </c>
      <c r="H97" s="199">
        <f t="shared" si="25"/>
        <v>7.7465319548675735</v>
      </c>
      <c r="I97" s="199">
        <f t="shared" si="20"/>
        <v>3.5148822427931381</v>
      </c>
      <c r="J97" s="200">
        <f t="shared" si="2"/>
        <v>509.65792520500503</v>
      </c>
      <c r="K97" s="201">
        <f t="shared" si="30"/>
        <v>1123.2471334557981</v>
      </c>
      <c r="L97" s="206">
        <f t="shared" si="31"/>
        <v>-613.58920825079304</v>
      </c>
      <c r="M97" s="203">
        <f t="shared" si="26"/>
        <v>-33.506325986447109</v>
      </c>
      <c r="N97" s="204">
        <f t="shared" si="27"/>
        <v>-647.09553423724014</v>
      </c>
      <c r="O97" s="203">
        <v>0</v>
      </c>
      <c r="P97" s="203">
        <v>0</v>
      </c>
      <c r="Q97" s="203">
        <v>0</v>
      </c>
      <c r="R97" s="204">
        <f t="shared" si="28"/>
        <v>-647.09553423724014</v>
      </c>
    </row>
    <row r="98" spans="1:18" x14ac:dyDescent="0.2">
      <c r="A98" s="124">
        <v>7</v>
      </c>
      <c r="B98" s="196">
        <f t="shared" si="4"/>
        <v>44743</v>
      </c>
      <c r="C98" s="217">
        <f t="shared" si="32"/>
        <v>44776</v>
      </c>
      <c r="D98" s="217">
        <f t="shared" si="32"/>
        <v>44796</v>
      </c>
      <c r="E98" s="54" t="s">
        <v>8</v>
      </c>
      <c r="F98" s="161">
        <v>9</v>
      </c>
      <c r="G98" s="198">
        <v>161</v>
      </c>
      <c r="H98" s="199">
        <f t="shared" si="25"/>
        <v>7.7465319548675735</v>
      </c>
      <c r="I98" s="199">
        <f t="shared" si="20"/>
        <v>3.5148822427931381</v>
      </c>
      <c r="J98" s="200">
        <f t="shared" si="2"/>
        <v>565.89604108969525</v>
      </c>
      <c r="K98" s="207">
        <f t="shared" si="30"/>
        <v>1247.1916447336794</v>
      </c>
      <c r="L98" s="206">
        <f t="shared" si="31"/>
        <v>-681.29560364398412</v>
      </c>
      <c r="M98" s="203">
        <f t="shared" si="26"/>
        <v>-37.203575750468858</v>
      </c>
      <c r="N98" s="204">
        <f t="shared" si="27"/>
        <v>-718.49917939445299</v>
      </c>
      <c r="O98" s="203">
        <v>0</v>
      </c>
      <c r="P98" s="203">
        <v>0</v>
      </c>
      <c r="Q98" s="203">
        <v>0</v>
      </c>
      <c r="R98" s="204">
        <f t="shared" si="28"/>
        <v>-718.49917939445299</v>
      </c>
    </row>
    <row r="99" spans="1:18" x14ac:dyDescent="0.2">
      <c r="A99" s="161">
        <v>8</v>
      </c>
      <c r="B99" s="196">
        <f t="shared" si="4"/>
        <v>44774</v>
      </c>
      <c r="C99" s="217">
        <f t="shared" si="32"/>
        <v>44809</v>
      </c>
      <c r="D99" s="217">
        <f t="shared" si="32"/>
        <v>44827</v>
      </c>
      <c r="E99" s="54" t="s">
        <v>8</v>
      </c>
      <c r="F99" s="161">
        <v>9</v>
      </c>
      <c r="G99" s="198">
        <v>154</v>
      </c>
      <c r="H99" s="199">
        <f t="shared" si="25"/>
        <v>7.7465319548675735</v>
      </c>
      <c r="I99" s="199">
        <f t="shared" si="20"/>
        <v>3.5148822427931381</v>
      </c>
      <c r="J99" s="200">
        <f t="shared" si="2"/>
        <v>541.29186539014324</v>
      </c>
      <c r="K99" s="207">
        <f t="shared" si="30"/>
        <v>1192.9659210496063</v>
      </c>
      <c r="L99" s="206">
        <f t="shared" si="31"/>
        <v>-651.67405565946308</v>
      </c>
      <c r="M99" s="203">
        <f t="shared" si="26"/>
        <v>-35.586028978709351</v>
      </c>
      <c r="N99" s="204">
        <f t="shared" si="27"/>
        <v>-687.26008463817243</v>
      </c>
      <c r="O99" s="203">
        <v>0</v>
      </c>
      <c r="P99" s="203">
        <v>0</v>
      </c>
      <c r="Q99" s="203">
        <v>0</v>
      </c>
      <c r="R99" s="204">
        <f t="shared" si="28"/>
        <v>-687.26008463817243</v>
      </c>
    </row>
    <row r="100" spans="1:18" x14ac:dyDescent="0.2">
      <c r="A100" s="161">
        <v>9</v>
      </c>
      <c r="B100" s="196">
        <f t="shared" si="4"/>
        <v>44805</v>
      </c>
      <c r="C100" s="217">
        <f t="shared" si="32"/>
        <v>44839</v>
      </c>
      <c r="D100" s="217">
        <f t="shared" si="32"/>
        <v>44859</v>
      </c>
      <c r="E100" s="54" t="s">
        <v>8</v>
      </c>
      <c r="F100" s="161">
        <v>9</v>
      </c>
      <c r="G100" s="198">
        <v>132</v>
      </c>
      <c r="H100" s="199">
        <f t="shared" si="25"/>
        <v>7.7465319548675735</v>
      </c>
      <c r="I100" s="199">
        <f t="shared" si="20"/>
        <v>3.5148822427931381</v>
      </c>
      <c r="J100" s="200">
        <f t="shared" si="2"/>
        <v>463.96445604869422</v>
      </c>
      <c r="K100" s="207">
        <f t="shared" si="30"/>
        <v>1022.5422180425197</v>
      </c>
      <c r="L100" s="206">
        <f t="shared" si="31"/>
        <v>-558.57776199382556</v>
      </c>
      <c r="M100" s="203">
        <f t="shared" si="26"/>
        <v>-30.502310553179441</v>
      </c>
      <c r="N100" s="204">
        <f t="shared" si="27"/>
        <v>-589.08007254700499</v>
      </c>
      <c r="O100" s="203">
        <v>0</v>
      </c>
      <c r="P100" s="203">
        <v>0</v>
      </c>
      <c r="Q100" s="203">
        <v>0</v>
      </c>
      <c r="R100" s="204">
        <f t="shared" si="28"/>
        <v>-589.08007254700499</v>
      </c>
    </row>
    <row r="101" spans="1:18" x14ac:dyDescent="0.2">
      <c r="A101" s="124">
        <v>10</v>
      </c>
      <c r="B101" s="196">
        <f t="shared" si="4"/>
        <v>44835</v>
      </c>
      <c r="C101" s="217">
        <f t="shared" si="32"/>
        <v>44868</v>
      </c>
      <c r="D101" s="217">
        <f t="shared" si="32"/>
        <v>44888</v>
      </c>
      <c r="E101" s="54" t="s">
        <v>8</v>
      </c>
      <c r="F101" s="161">
        <v>9</v>
      </c>
      <c r="G101" s="198">
        <v>91</v>
      </c>
      <c r="H101" s="199">
        <f t="shared" si="25"/>
        <v>7.7465319548675735</v>
      </c>
      <c r="I101" s="199">
        <f t="shared" si="20"/>
        <v>3.5148822427931381</v>
      </c>
      <c r="J101" s="200">
        <f t="shared" si="2"/>
        <v>319.85428409417557</v>
      </c>
      <c r="K101" s="207">
        <f t="shared" si="30"/>
        <v>704.93440789294914</v>
      </c>
      <c r="L101" s="206">
        <f t="shared" si="31"/>
        <v>-385.08012379877357</v>
      </c>
      <c r="M101" s="203">
        <f t="shared" si="26"/>
        <v>-21.028108032873703</v>
      </c>
      <c r="N101" s="204">
        <f t="shared" si="27"/>
        <v>-406.10823183164729</v>
      </c>
      <c r="O101" s="203">
        <v>0</v>
      </c>
      <c r="P101" s="203">
        <v>0</v>
      </c>
      <c r="Q101" s="203">
        <v>0</v>
      </c>
      <c r="R101" s="204">
        <f t="shared" si="28"/>
        <v>-406.10823183164729</v>
      </c>
    </row>
    <row r="102" spans="1:18" x14ac:dyDescent="0.2">
      <c r="A102" s="161">
        <v>11</v>
      </c>
      <c r="B102" s="196">
        <f t="shared" si="4"/>
        <v>44866</v>
      </c>
      <c r="C102" s="217">
        <f t="shared" si="32"/>
        <v>44900</v>
      </c>
      <c r="D102" s="217">
        <f t="shared" si="32"/>
        <v>44918</v>
      </c>
      <c r="E102" s="54" t="s">
        <v>8</v>
      </c>
      <c r="F102" s="161">
        <v>9</v>
      </c>
      <c r="G102" s="198">
        <v>67</v>
      </c>
      <c r="H102" s="199">
        <f t="shared" si="25"/>
        <v>7.7465319548675735</v>
      </c>
      <c r="I102" s="199">
        <f t="shared" si="20"/>
        <v>3.5148822427931381</v>
      </c>
      <c r="J102" s="200">
        <f t="shared" si="2"/>
        <v>235.49711026714024</v>
      </c>
      <c r="K102" s="207">
        <f t="shared" si="30"/>
        <v>519.01764097612738</v>
      </c>
      <c r="L102" s="206">
        <f t="shared" si="31"/>
        <v>-283.52053070898717</v>
      </c>
      <c r="M102" s="203">
        <f t="shared" si="26"/>
        <v>-15.482233386841079</v>
      </c>
      <c r="N102" s="204">
        <f t="shared" si="27"/>
        <v>-299.00276409582824</v>
      </c>
      <c r="O102" s="203">
        <v>0</v>
      </c>
      <c r="P102" s="203">
        <v>0</v>
      </c>
      <c r="Q102" s="203">
        <v>0</v>
      </c>
      <c r="R102" s="204">
        <f t="shared" si="28"/>
        <v>-299.00276409582824</v>
      </c>
    </row>
    <row r="103" spans="1:18" s="221" customFormat="1" x14ac:dyDescent="0.2">
      <c r="A103" s="161">
        <v>12</v>
      </c>
      <c r="B103" s="219">
        <f t="shared" si="4"/>
        <v>44896</v>
      </c>
      <c r="C103" s="217">
        <f t="shared" si="32"/>
        <v>44930</v>
      </c>
      <c r="D103" s="217">
        <f t="shared" si="32"/>
        <v>44950</v>
      </c>
      <c r="E103" s="220" t="s">
        <v>8</v>
      </c>
      <c r="F103" s="172">
        <v>9</v>
      </c>
      <c r="G103" s="208">
        <v>96</v>
      </c>
      <c r="H103" s="209">
        <f t="shared" si="25"/>
        <v>7.7465319548675735</v>
      </c>
      <c r="I103" s="209">
        <f t="shared" si="20"/>
        <v>3.5148822427931381</v>
      </c>
      <c r="J103" s="210">
        <f t="shared" si="2"/>
        <v>337.42869530814124</v>
      </c>
      <c r="K103" s="211">
        <f t="shared" si="30"/>
        <v>743.66706766728703</v>
      </c>
      <c r="L103" s="212">
        <f t="shared" si="31"/>
        <v>-406.23837235914579</v>
      </c>
      <c r="M103" s="203">
        <f t="shared" si="26"/>
        <v>-22.183498584130501</v>
      </c>
      <c r="N103" s="204">
        <f t="shared" si="27"/>
        <v>-428.4218709432763</v>
      </c>
      <c r="O103" s="203">
        <v>0</v>
      </c>
      <c r="P103" s="203">
        <v>0</v>
      </c>
      <c r="Q103" s="203">
        <v>0</v>
      </c>
      <c r="R103" s="204">
        <f t="shared" si="28"/>
        <v>-428.4218709432763</v>
      </c>
    </row>
    <row r="104" spans="1:18" x14ac:dyDescent="0.2">
      <c r="A104" s="124">
        <v>1</v>
      </c>
      <c r="B104" s="196">
        <f t="shared" si="4"/>
        <v>44562</v>
      </c>
      <c r="C104" s="214">
        <f t="shared" si="32"/>
        <v>44595</v>
      </c>
      <c r="D104" s="214">
        <f t="shared" si="32"/>
        <v>44615</v>
      </c>
      <c r="E104" s="197" t="s">
        <v>19</v>
      </c>
      <c r="F104" s="124">
        <v>9</v>
      </c>
      <c r="G104" s="198">
        <v>42</v>
      </c>
      <c r="H104" s="199">
        <f t="shared" si="25"/>
        <v>7.7465319548675735</v>
      </c>
      <c r="I104" s="199">
        <f t="shared" si="20"/>
        <v>3.5148822427931381</v>
      </c>
      <c r="J104" s="200">
        <f t="shared" si="2"/>
        <v>147.62505419731181</v>
      </c>
      <c r="K104" s="201">
        <f t="shared" si="30"/>
        <v>325.3543421044381</v>
      </c>
      <c r="L104" s="202">
        <f t="shared" si="31"/>
        <v>-177.72928790712629</v>
      </c>
      <c r="M104" s="203">
        <f t="shared" si="26"/>
        <v>-9.7052806305570947</v>
      </c>
      <c r="N104" s="204">
        <f t="shared" si="27"/>
        <v>-187.43456853768339</v>
      </c>
      <c r="O104" s="203">
        <v>0</v>
      </c>
      <c r="P104" s="203">
        <v>0</v>
      </c>
      <c r="Q104" s="203">
        <v>0</v>
      </c>
      <c r="R104" s="204">
        <f t="shared" si="28"/>
        <v>-187.43456853768339</v>
      </c>
    </row>
    <row r="105" spans="1:18" x14ac:dyDescent="0.2">
      <c r="A105" s="161">
        <v>2</v>
      </c>
      <c r="B105" s="196">
        <f t="shared" si="4"/>
        <v>44593</v>
      </c>
      <c r="C105" s="217">
        <f t="shared" si="32"/>
        <v>44623</v>
      </c>
      <c r="D105" s="217">
        <f t="shared" si="32"/>
        <v>44642</v>
      </c>
      <c r="E105" s="205" t="s">
        <v>19</v>
      </c>
      <c r="F105" s="161">
        <v>9</v>
      </c>
      <c r="G105" s="198">
        <v>43</v>
      </c>
      <c r="H105" s="199">
        <f t="shared" si="25"/>
        <v>7.7465319548675735</v>
      </c>
      <c r="I105" s="199">
        <f t="shared" si="20"/>
        <v>3.5148822427931381</v>
      </c>
      <c r="J105" s="200">
        <f t="shared" si="2"/>
        <v>151.13993644010495</v>
      </c>
      <c r="K105" s="201">
        <f t="shared" si="30"/>
        <v>333.10087405930568</v>
      </c>
      <c r="L105" s="202">
        <f t="shared" si="31"/>
        <v>-181.96093761920073</v>
      </c>
      <c r="M105" s="203">
        <f t="shared" si="26"/>
        <v>-9.9363587408084548</v>
      </c>
      <c r="N105" s="204">
        <f t="shared" si="27"/>
        <v>-191.89729636000919</v>
      </c>
      <c r="O105" s="203">
        <v>0</v>
      </c>
      <c r="P105" s="203">
        <v>0</v>
      </c>
      <c r="Q105" s="203">
        <v>0</v>
      </c>
      <c r="R105" s="204">
        <f t="shared" si="28"/>
        <v>-191.89729636000919</v>
      </c>
    </row>
    <row r="106" spans="1:18" x14ac:dyDescent="0.2">
      <c r="A106" s="161">
        <v>3</v>
      </c>
      <c r="B106" s="196">
        <f t="shared" si="4"/>
        <v>44621</v>
      </c>
      <c r="C106" s="217">
        <f t="shared" si="32"/>
        <v>44656</v>
      </c>
      <c r="D106" s="217">
        <f t="shared" si="32"/>
        <v>44676</v>
      </c>
      <c r="E106" s="205" t="s">
        <v>19</v>
      </c>
      <c r="F106" s="161">
        <v>9</v>
      </c>
      <c r="G106" s="198">
        <v>42</v>
      </c>
      <c r="H106" s="199">
        <f t="shared" si="25"/>
        <v>7.7465319548675735</v>
      </c>
      <c r="I106" s="199">
        <f t="shared" si="20"/>
        <v>3.5148822427931381</v>
      </c>
      <c r="J106" s="200">
        <f t="shared" si="2"/>
        <v>147.62505419731181</v>
      </c>
      <c r="K106" s="201">
        <f t="shared" si="30"/>
        <v>325.3543421044381</v>
      </c>
      <c r="L106" s="202">
        <f>+J106-K106</f>
        <v>-177.72928790712629</v>
      </c>
      <c r="M106" s="203">
        <f t="shared" si="26"/>
        <v>-9.7052806305570947</v>
      </c>
      <c r="N106" s="204">
        <f t="shared" si="27"/>
        <v>-187.43456853768339</v>
      </c>
      <c r="O106" s="203">
        <v>0</v>
      </c>
      <c r="P106" s="203">
        <v>0</v>
      </c>
      <c r="Q106" s="203">
        <v>0</v>
      </c>
      <c r="R106" s="204">
        <f t="shared" si="28"/>
        <v>-187.43456853768339</v>
      </c>
    </row>
    <row r="107" spans="1:18" x14ac:dyDescent="0.2">
      <c r="A107" s="124">
        <v>4</v>
      </c>
      <c r="B107" s="196">
        <f t="shared" si="4"/>
        <v>44652</v>
      </c>
      <c r="C107" s="217">
        <f t="shared" si="32"/>
        <v>44685</v>
      </c>
      <c r="D107" s="217">
        <f t="shared" si="32"/>
        <v>44705</v>
      </c>
      <c r="E107" s="54" t="s">
        <v>19</v>
      </c>
      <c r="F107" s="161">
        <v>9</v>
      </c>
      <c r="G107" s="198">
        <v>52</v>
      </c>
      <c r="H107" s="199">
        <f t="shared" si="25"/>
        <v>7.7465319548675735</v>
      </c>
      <c r="I107" s="199">
        <f t="shared" si="20"/>
        <v>3.5148822427931381</v>
      </c>
      <c r="J107" s="200">
        <f t="shared" si="2"/>
        <v>182.77387662524319</v>
      </c>
      <c r="K107" s="201">
        <f t="shared" si="30"/>
        <v>402.81966165311383</v>
      </c>
      <c r="L107" s="202">
        <f t="shared" ref="L107:L115" si="33">+J107-K107</f>
        <v>-220.04578502787064</v>
      </c>
      <c r="M107" s="203">
        <f t="shared" si="26"/>
        <v>-12.016061733070687</v>
      </c>
      <c r="N107" s="204">
        <f t="shared" si="27"/>
        <v>-232.06184676094134</v>
      </c>
      <c r="O107" s="203">
        <v>0</v>
      </c>
      <c r="P107" s="203">
        <v>0</v>
      </c>
      <c r="Q107" s="203">
        <v>0</v>
      </c>
      <c r="R107" s="204">
        <f t="shared" si="28"/>
        <v>-232.06184676094134</v>
      </c>
    </row>
    <row r="108" spans="1:18" x14ac:dyDescent="0.2">
      <c r="A108" s="161">
        <v>5</v>
      </c>
      <c r="B108" s="196">
        <f t="shared" si="4"/>
        <v>44682</v>
      </c>
      <c r="C108" s="217">
        <f t="shared" si="32"/>
        <v>44715</v>
      </c>
      <c r="D108" s="217">
        <f t="shared" si="32"/>
        <v>44735</v>
      </c>
      <c r="E108" s="54" t="s">
        <v>19</v>
      </c>
      <c r="F108" s="161">
        <v>9</v>
      </c>
      <c r="G108" s="198">
        <v>52</v>
      </c>
      <c r="H108" s="199">
        <f t="shared" si="25"/>
        <v>7.7465319548675735</v>
      </c>
      <c r="I108" s="199">
        <f t="shared" ref="I108:I127" si="34">$J$3</f>
        <v>3.5148822427931381</v>
      </c>
      <c r="J108" s="200">
        <f t="shared" si="2"/>
        <v>182.77387662524319</v>
      </c>
      <c r="K108" s="201">
        <f t="shared" si="30"/>
        <v>402.81966165311383</v>
      </c>
      <c r="L108" s="202">
        <f t="shared" si="33"/>
        <v>-220.04578502787064</v>
      </c>
      <c r="M108" s="203">
        <f t="shared" si="26"/>
        <v>-12.016061733070687</v>
      </c>
      <c r="N108" s="204">
        <f t="shared" si="27"/>
        <v>-232.06184676094134</v>
      </c>
      <c r="O108" s="203">
        <v>0</v>
      </c>
      <c r="P108" s="203">
        <v>0</v>
      </c>
      <c r="Q108" s="203">
        <v>0</v>
      </c>
      <c r="R108" s="204">
        <f t="shared" si="28"/>
        <v>-232.06184676094134</v>
      </c>
    </row>
    <row r="109" spans="1:18" x14ac:dyDescent="0.2">
      <c r="A109" s="161">
        <v>6</v>
      </c>
      <c r="B109" s="196">
        <f t="shared" ref="B109:B148" si="35">DATE($R$1,A109,1)</f>
        <v>44713</v>
      </c>
      <c r="C109" s="217">
        <f t="shared" si="32"/>
        <v>44747</v>
      </c>
      <c r="D109" s="217">
        <f t="shared" si="32"/>
        <v>44767</v>
      </c>
      <c r="E109" s="54" t="s">
        <v>19</v>
      </c>
      <c r="F109" s="161">
        <v>9</v>
      </c>
      <c r="G109" s="198">
        <v>56</v>
      </c>
      <c r="H109" s="199">
        <f t="shared" si="25"/>
        <v>7.7465319548675735</v>
      </c>
      <c r="I109" s="199">
        <f t="shared" si="34"/>
        <v>3.5148822427931381</v>
      </c>
      <c r="J109" s="200">
        <f t="shared" ref="J109:J148" si="36">+$G109*I109</f>
        <v>196.83340559641573</v>
      </c>
      <c r="K109" s="201">
        <f t="shared" si="30"/>
        <v>433.80578947258414</v>
      </c>
      <c r="L109" s="206">
        <f t="shared" si="33"/>
        <v>-236.97238387616841</v>
      </c>
      <c r="M109" s="203">
        <f t="shared" si="26"/>
        <v>-12.940374174076124</v>
      </c>
      <c r="N109" s="204">
        <f t="shared" si="27"/>
        <v>-249.91275805024452</v>
      </c>
      <c r="O109" s="203">
        <v>0</v>
      </c>
      <c r="P109" s="203">
        <v>0</v>
      </c>
      <c r="Q109" s="203">
        <v>0</v>
      </c>
      <c r="R109" s="204">
        <f t="shared" si="28"/>
        <v>-249.91275805024452</v>
      </c>
    </row>
    <row r="110" spans="1:18" x14ac:dyDescent="0.2">
      <c r="A110" s="124">
        <v>7</v>
      </c>
      <c r="B110" s="196">
        <f t="shared" si="35"/>
        <v>44743</v>
      </c>
      <c r="C110" s="217">
        <f t="shared" si="32"/>
        <v>44776</v>
      </c>
      <c r="D110" s="217">
        <f t="shared" si="32"/>
        <v>44796</v>
      </c>
      <c r="E110" s="54" t="s">
        <v>19</v>
      </c>
      <c r="F110" s="161">
        <v>9</v>
      </c>
      <c r="G110" s="198">
        <v>58</v>
      </c>
      <c r="H110" s="199">
        <f t="shared" si="25"/>
        <v>7.7465319548675735</v>
      </c>
      <c r="I110" s="199">
        <f t="shared" si="34"/>
        <v>3.5148822427931381</v>
      </c>
      <c r="J110" s="200">
        <f t="shared" si="36"/>
        <v>203.863170082002</v>
      </c>
      <c r="K110" s="207">
        <f t="shared" si="30"/>
        <v>449.29885338231924</v>
      </c>
      <c r="L110" s="206">
        <f t="shared" si="33"/>
        <v>-245.43568330031724</v>
      </c>
      <c r="M110" s="203">
        <f t="shared" si="26"/>
        <v>-13.402530394578845</v>
      </c>
      <c r="N110" s="204">
        <f t="shared" si="27"/>
        <v>-258.83821369489607</v>
      </c>
      <c r="O110" s="203">
        <v>0</v>
      </c>
      <c r="P110" s="203">
        <v>0</v>
      </c>
      <c r="Q110" s="203">
        <v>0</v>
      </c>
      <c r="R110" s="204">
        <f t="shared" si="28"/>
        <v>-258.83821369489607</v>
      </c>
    </row>
    <row r="111" spans="1:18" x14ac:dyDescent="0.2">
      <c r="A111" s="161">
        <v>8</v>
      </c>
      <c r="B111" s="196">
        <f t="shared" si="35"/>
        <v>44774</v>
      </c>
      <c r="C111" s="217">
        <f t="shared" si="32"/>
        <v>44809</v>
      </c>
      <c r="D111" s="217">
        <f t="shared" si="32"/>
        <v>44827</v>
      </c>
      <c r="E111" s="54" t="s">
        <v>19</v>
      </c>
      <c r="F111" s="161">
        <v>9</v>
      </c>
      <c r="G111" s="198">
        <v>60</v>
      </c>
      <c r="H111" s="199">
        <f t="shared" si="25"/>
        <v>7.7465319548675735</v>
      </c>
      <c r="I111" s="199">
        <f t="shared" si="34"/>
        <v>3.5148822427931381</v>
      </c>
      <c r="J111" s="200">
        <f t="shared" si="36"/>
        <v>210.8929345675883</v>
      </c>
      <c r="K111" s="207">
        <f t="shared" si="30"/>
        <v>464.79191729205439</v>
      </c>
      <c r="L111" s="206">
        <f t="shared" si="33"/>
        <v>-253.89898272446609</v>
      </c>
      <c r="M111" s="203">
        <f t="shared" si="26"/>
        <v>-13.864686615081563</v>
      </c>
      <c r="N111" s="204">
        <f t="shared" si="27"/>
        <v>-267.76366933954768</v>
      </c>
      <c r="O111" s="203">
        <v>0</v>
      </c>
      <c r="P111" s="203">
        <v>0</v>
      </c>
      <c r="Q111" s="203">
        <v>0</v>
      </c>
      <c r="R111" s="204">
        <f t="shared" si="28"/>
        <v>-267.76366933954768</v>
      </c>
    </row>
    <row r="112" spans="1:18" x14ac:dyDescent="0.2">
      <c r="A112" s="161">
        <v>9</v>
      </c>
      <c r="B112" s="196">
        <f t="shared" si="35"/>
        <v>44805</v>
      </c>
      <c r="C112" s="217">
        <f t="shared" si="32"/>
        <v>44839</v>
      </c>
      <c r="D112" s="217">
        <f t="shared" si="32"/>
        <v>44859</v>
      </c>
      <c r="E112" s="54" t="s">
        <v>19</v>
      </c>
      <c r="F112" s="161">
        <v>9</v>
      </c>
      <c r="G112" s="198">
        <v>58</v>
      </c>
      <c r="H112" s="199">
        <f t="shared" si="25"/>
        <v>7.7465319548675735</v>
      </c>
      <c r="I112" s="199">
        <f t="shared" si="34"/>
        <v>3.5148822427931381</v>
      </c>
      <c r="J112" s="200">
        <f t="shared" si="36"/>
        <v>203.863170082002</v>
      </c>
      <c r="K112" s="207">
        <f t="shared" si="30"/>
        <v>449.29885338231924</v>
      </c>
      <c r="L112" s="206">
        <f t="shared" si="33"/>
        <v>-245.43568330031724</v>
      </c>
      <c r="M112" s="203">
        <f t="shared" si="26"/>
        <v>-13.402530394578845</v>
      </c>
      <c r="N112" s="204">
        <f t="shared" si="27"/>
        <v>-258.83821369489607</v>
      </c>
      <c r="O112" s="203">
        <v>0</v>
      </c>
      <c r="P112" s="203">
        <v>0</v>
      </c>
      <c r="Q112" s="203">
        <v>0</v>
      </c>
      <c r="R112" s="204">
        <f t="shared" si="28"/>
        <v>-258.83821369489607</v>
      </c>
    </row>
    <row r="113" spans="1:18" x14ac:dyDescent="0.2">
      <c r="A113" s="124">
        <v>10</v>
      </c>
      <c r="B113" s="196">
        <f t="shared" si="35"/>
        <v>44835</v>
      </c>
      <c r="C113" s="217">
        <f t="shared" si="32"/>
        <v>44868</v>
      </c>
      <c r="D113" s="217">
        <f t="shared" si="32"/>
        <v>44888</v>
      </c>
      <c r="E113" s="54" t="s">
        <v>19</v>
      </c>
      <c r="F113" s="161">
        <v>9</v>
      </c>
      <c r="G113" s="198">
        <v>56</v>
      </c>
      <c r="H113" s="199">
        <f t="shared" si="25"/>
        <v>7.7465319548675735</v>
      </c>
      <c r="I113" s="199">
        <f t="shared" si="34"/>
        <v>3.5148822427931381</v>
      </c>
      <c r="J113" s="200">
        <f t="shared" si="36"/>
        <v>196.83340559641573</v>
      </c>
      <c r="K113" s="207">
        <f t="shared" si="30"/>
        <v>433.80578947258414</v>
      </c>
      <c r="L113" s="206">
        <f t="shared" si="33"/>
        <v>-236.97238387616841</v>
      </c>
      <c r="M113" s="203">
        <f t="shared" si="26"/>
        <v>-12.940374174076124</v>
      </c>
      <c r="N113" s="204">
        <f t="shared" si="27"/>
        <v>-249.91275805024452</v>
      </c>
      <c r="O113" s="203">
        <v>0</v>
      </c>
      <c r="P113" s="203">
        <v>0</v>
      </c>
      <c r="Q113" s="203">
        <v>0</v>
      </c>
      <c r="R113" s="204">
        <f t="shared" si="28"/>
        <v>-249.91275805024452</v>
      </c>
    </row>
    <row r="114" spans="1:18" x14ac:dyDescent="0.2">
      <c r="A114" s="161">
        <v>11</v>
      </c>
      <c r="B114" s="196">
        <f t="shared" si="35"/>
        <v>44866</v>
      </c>
      <c r="C114" s="217">
        <f t="shared" si="32"/>
        <v>44900</v>
      </c>
      <c r="D114" s="217">
        <f t="shared" si="32"/>
        <v>44918</v>
      </c>
      <c r="E114" s="54" t="s">
        <v>19</v>
      </c>
      <c r="F114" s="161">
        <v>9</v>
      </c>
      <c r="G114" s="198">
        <v>59</v>
      </c>
      <c r="H114" s="199">
        <f t="shared" si="25"/>
        <v>7.7465319548675735</v>
      </c>
      <c r="I114" s="199">
        <f t="shared" si="34"/>
        <v>3.5148822427931381</v>
      </c>
      <c r="J114" s="200">
        <f t="shared" si="36"/>
        <v>207.37805232479514</v>
      </c>
      <c r="K114" s="207">
        <f t="shared" si="30"/>
        <v>457.04538533718681</v>
      </c>
      <c r="L114" s="206">
        <f t="shared" si="33"/>
        <v>-249.66733301239168</v>
      </c>
      <c r="M114" s="203">
        <f t="shared" si="26"/>
        <v>-13.633608504830205</v>
      </c>
      <c r="N114" s="204">
        <f t="shared" si="27"/>
        <v>-263.30094151722187</v>
      </c>
      <c r="O114" s="203">
        <v>0</v>
      </c>
      <c r="P114" s="203">
        <v>0</v>
      </c>
      <c r="Q114" s="203">
        <v>0</v>
      </c>
      <c r="R114" s="204">
        <f t="shared" si="28"/>
        <v>-263.30094151722187</v>
      </c>
    </row>
    <row r="115" spans="1:18" s="221" customFormat="1" x14ac:dyDescent="0.2">
      <c r="A115" s="161">
        <v>12</v>
      </c>
      <c r="B115" s="219">
        <f t="shared" si="35"/>
        <v>44896</v>
      </c>
      <c r="C115" s="222">
        <f t="shared" si="32"/>
        <v>44930</v>
      </c>
      <c r="D115" s="222">
        <f t="shared" si="32"/>
        <v>44950</v>
      </c>
      <c r="E115" s="220" t="s">
        <v>19</v>
      </c>
      <c r="F115" s="172">
        <v>9</v>
      </c>
      <c r="G115" s="208">
        <v>58</v>
      </c>
      <c r="H115" s="209">
        <f t="shared" si="25"/>
        <v>7.7465319548675735</v>
      </c>
      <c r="I115" s="209">
        <f t="shared" si="34"/>
        <v>3.5148822427931381</v>
      </c>
      <c r="J115" s="210">
        <f t="shared" si="36"/>
        <v>203.863170082002</v>
      </c>
      <c r="K115" s="211">
        <f t="shared" si="30"/>
        <v>449.29885338231924</v>
      </c>
      <c r="L115" s="212">
        <f t="shared" si="33"/>
        <v>-245.43568330031724</v>
      </c>
      <c r="M115" s="203">
        <f t="shared" si="26"/>
        <v>-13.402530394578845</v>
      </c>
      <c r="N115" s="204">
        <f t="shared" si="27"/>
        <v>-258.83821369489607</v>
      </c>
      <c r="O115" s="203">
        <v>0</v>
      </c>
      <c r="P115" s="203">
        <v>0</v>
      </c>
      <c r="Q115" s="203">
        <v>0</v>
      </c>
      <c r="R115" s="204">
        <f t="shared" si="28"/>
        <v>-258.83821369489607</v>
      </c>
    </row>
    <row r="116" spans="1:18" x14ac:dyDescent="0.2">
      <c r="A116" s="124">
        <v>1</v>
      </c>
      <c r="B116" s="196">
        <f t="shared" si="35"/>
        <v>44562</v>
      </c>
      <c r="C116" s="217">
        <f t="shared" si="32"/>
        <v>44595</v>
      </c>
      <c r="D116" s="217">
        <f t="shared" si="32"/>
        <v>44615</v>
      </c>
      <c r="E116" s="197" t="s">
        <v>13</v>
      </c>
      <c r="F116" s="124">
        <v>9</v>
      </c>
      <c r="G116" s="198">
        <v>1045</v>
      </c>
      <c r="H116" s="199">
        <f t="shared" si="25"/>
        <v>7.7465319548675735</v>
      </c>
      <c r="I116" s="199">
        <f t="shared" si="34"/>
        <v>3.5148822427931381</v>
      </c>
      <c r="J116" s="200">
        <f t="shared" si="36"/>
        <v>3673.0519437188295</v>
      </c>
      <c r="K116" s="201">
        <f t="shared" si="30"/>
        <v>8095.1258928366142</v>
      </c>
      <c r="L116" s="202">
        <f>+J116-K116</f>
        <v>-4422.0739491177847</v>
      </c>
      <c r="M116" s="203">
        <f t="shared" si="26"/>
        <v>-241.4766252126706</v>
      </c>
      <c r="N116" s="204">
        <f t="shared" si="27"/>
        <v>-4663.5505743304557</v>
      </c>
      <c r="O116" s="203">
        <v>0</v>
      </c>
      <c r="P116" s="203">
        <v>0</v>
      </c>
      <c r="Q116" s="203">
        <v>0</v>
      </c>
      <c r="R116" s="204">
        <f t="shared" si="28"/>
        <v>-4663.5505743304557</v>
      </c>
    </row>
    <row r="117" spans="1:18" x14ac:dyDescent="0.2">
      <c r="A117" s="161">
        <v>2</v>
      </c>
      <c r="B117" s="196">
        <f t="shared" si="35"/>
        <v>44593</v>
      </c>
      <c r="C117" s="217">
        <f t="shared" ref="C117:D139" si="37">+C105</f>
        <v>44623</v>
      </c>
      <c r="D117" s="217">
        <f t="shared" si="37"/>
        <v>44642</v>
      </c>
      <c r="E117" s="205" t="s">
        <v>13</v>
      </c>
      <c r="F117" s="161">
        <v>9</v>
      </c>
      <c r="G117" s="198">
        <v>1114</v>
      </c>
      <c r="H117" s="199">
        <f t="shared" si="25"/>
        <v>7.7465319548675735</v>
      </c>
      <c r="I117" s="199">
        <f t="shared" si="34"/>
        <v>3.5148822427931381</v>
      </c>
      <c r="J117" s="200">
        <f t="shared" si="36"/>
        <v>3915.5788184715557</v>
      </c>
      <c r="K117" s="201">
        <f t="shared" si="30"/>
        <v>8629.6365977224777</v>
      </c>
      <c r="L117" s="202">
        <f>+J117-K117</f>
        <v>-4714.0577792509221</v>
      </c>
      <c r="M117" s="203">
        <f t="shared" si="26"/>
        <v>-257.42101482001436</v>
      </c>
      <c r="N117" s="204">
        <f t="shared" si="27"/>
        <v>-4971.4787940709366</v>
      </c>
      <c r="O117" s="203">
        <v>0</v>
      </c>
      <c r="P117" s="203">
        <v>0</v>
      </c>
      <c r="Q117" s="203">
        <v>0</v>
      </c>
      <c r="R117" s="204">
        <f t="shared" si="28"/>
        <v>-4971.4787940709366</v>
      </c>
    </row>
    <row r="118" spans="1:18" x14ac:dyDescent="0.2">
      <c r="A118" s="161">
        <v>3</v>
      </c>
      <c r="B118" s="196">
        <f t="shared" si="35"/>
        <v>44621</v>
      </c>
      <c r="C118" s="217">
        <f t="shared" si="37"/>
        <v>44656</v>
      </c>
      <c r="D118" s="217">
        <f t="shared" si="37"/>
        <v>44676</v>
      </c>
      <c r="E118" s="205" t="s">
        <v>13</v>
      </c>
      <c r="F118" s="161">
        <v>9</v>
      </c>
      <c r="G118" s="198">
        <v>977</v>
      </c>
      <c r="H118" s="199">
        <f t="shared" si="25"/>
        <v>7.7465319548675735</v>
      </c>
      <c r="I118" s="199">
        <f t="shared" si="34"/>
        <v>3.5148822427931381</v>
      </c>
      <c r="J118" s="200">
        <f t="shared" si="36"/>
        <v>3434.0399512088961</v>
      </c>
      <c r="K118" s="201">
        <f t="shared" si="30"/>
        <v>7568.3617199056189</v>
      </c>
      <c r="L118" s="202">
        <f>+J118-K118</f>
        <v>-4134.3217686967228</v>
      </c>
      <c r="M118" s="203">
        <f t="shared" si="26"/>
        <v>-225.76331371557811</v>
      </c>
      <c r="N118" s="204">
        <f t="shared" si="27"/>
        <v>-4360.0850824123008</v>
      </c>
      <c r="O118" s="203">
        <v>0</v>
      </c>
      <c r="P118" s="203">
        <v>0</v>
      </c>
      <c r="Q118" s="203">
        <v>0</v>
      </c>
      <c r="R118" s="204">
        <f t="shared" si="28"/>
        <v>-4360.0850824123008</v>
      </c>
    </row>
    <row r="119" spans="1:18" x14ac:dyDescent="0.2">
      <c r="A119" s="124">
        <v>4</v>
      </c>
      <c r="B119" s="196">
        <f t="shared" si="35"/>
        <v>44652</v>
      </c>
      <c r="C119" s="217">
        <f t="shared" si="37"/>
        <v>44685</v>
      </c>
      <c r="D119" s="217">
        <f t="shared" si="37"/>
        <v>44705</v>
      </c>
      <c r="E119" s="54" t="s">
        <v>13</v>
      </c>
      <c r="F119" s="161">
        <v>9</v>
      </c>
      <c r="G119" s="198">
        <v>539</v>
      </c>
      <c r="H119" s="199">
        <f t="shared" si="25"/>
        <v>7.7465319548675735</v>
      </c>
      <c r="I119" s="199">
        <f t="shared" si="34"/>
        <v>3.5148822427931381</v>
      </c>
      <c r="J119" s="200">
        <f t="shared" si="36"/>
        <v>1894.5215288655015</v>
      </c>
      <c r="K119" s="201">
        <f t="shared" si="30"/>
        <v>4175.380723673622</v>
      </c>
      <c r="L119" s="202">
        <f t="shared" ref="L119:L127" si="38">+J119-K119</f>
        <v>-2280.8591948081203</v>
      </c>
      <c r="M119" s="203">
        <f t="shared" si="26"/>
        <v>-124.55110142548271</v>
      </c>
      <c r="N119" s="204">
        <f t="shared" si="27"/>
        <v>-2405.4102962336028</v>
      </c>
      <c r="O119" s="203">
        <v>0</v>
      </c>
      <c r="P119" s="203">
        <v>0</v>
      </c>
      <c r="Q119" s="203">
        <v>0</v>
      </c>
      <c r="R119" s="204">
        <f t="shared" si="28"/>
        <v>-2405.4102962336028</v>
      </c>
    </row>
    <row r="120" spans="1:18" x14ac:dyDescent="0.2">
      <c r="A120" s="161">
        <v>5</v>
      </c>
      <c r="B120" s="196">
        <f t="shared" si="35"/>
        <v>44682</v>
      </c>
      <c r="C120" s="217">
        <f t="shared" si="37"/>
        <v>44715</v>
      </c>
      <c r="D120" s="217">
        <f t="shared" si="37"/>
        <v>44735</v>
      </c>
      <c r="E120" s="54" t="s">
        <v>13</v>
      </c>
      <c r="F120" s="161">
        <v>9</v>
      </c>
      <c r="G120" s="198">
        <v>754</v>
      </c>
      <c r="H120" s="199">
        <f t="shared" si="25"/>
        <v>7.7465319548675735</v>
      </c>
      <c r="I120" s="199">
        <f t="shared" si="34"/>
        <v>3.5148822427931381</v>
      </c>
      <c r="J120" s="200">
        <f t="shared" si="36"/>
        <v>2650.2212110660262</v>
      </c>
      <c r="K120" s="201">
        <f t="shared" si="30"/>
        <v>5840.8850939701506</v>
      </c>
      <c r="L120" s="202">
        <f t="shared" si="38"/>
        <v>-3190.6638829041244</v>
      </c>
      <c r="M120" s="203">
        <f t="shared" si="26"/>
        <v>-174.23289512952499</v>
      </c>
      <c r="N120" s="204">
        <f t="shared" si="27"/>
        <v>-3364.8967780336493</v>
      </c>
      <c r="O120" s="203">
        <v>0</v>
      </c>
      <c r="P120" s="203">
        <v>0</v>
      </c>
      <c r="Q120" s="203">
        <v>0</v>
      </c>
      <c r="R120" s="204">
        <f t="shared" si="28"/>
        <v>-3364.8967780336493</v>
      </c>
    </row>
    <row r="121" spans="1:18" x14ac:dyDescent="0.2">
      <c r="A121" s="161">
        <v>6</v>
      </c>
      <c r="B121" s="196">
        <f t="shared" si="35"/>
        <v>44713</v>
      </c>
      <c r="C121" s="217">
        <f t="shared" si="37"/>
        <v>44747</v>
      </c>
      <c r="D121" s="217">
        <f t="shared" si="37"/>
        <v>44767</v>
      </c>
      <c r="E121" s="54" t="s">
        <v>13</v>
      </c>
      <c r="F121" s="161">
        <v>9</v>
      </c>
      <c r="G121" s="198">
        <v>946</v>
      </c>
      <c r="H121" s="199">
        <f t="shared" si="25"/>
        <v>7.7465319548675735</v>
      </c>
      <c r="I121" s="199">
        <f t="shared" si="34"/>
        <v>3.5148822427931381</v>
      </c>
      <c r="J121" s="200">
        <f t="shared" si="36"/>
        <v>3325.0786016823085</v>
      </c>
      <c r="K121" s="201">
        <f t="shared" si="30"/>
        <v>7328.2192293047246</v>
      </c>
      <c r="L121" s="206">
        <f t="shared" si="38"/>
        <v>-4003.1406276224161</v>
      </c>
      <c r="M121" s="203">
        <f t="shared" si="26"/>
        <v>-218.599892297786</v>
      </c>
      <c r="N121" s="204">
        <f t="shared" si="27"/>
        <v>-4221.7405199202021</v>
      </c>
      <c r="O121" s="203">
        <v>0</v>
      </c>
      <c r="P121" s="203">
        <v>0</v>
      </c>
      <c r="Q121" s="203">
        <v>0</v>
      </c>
      <c r="R121" s="204">
        <f t="shared" si="28"/>
        <v>-4221.7405199202021</v>
      </c>
    </row>
    <row r="122" spans="1:18" x14ac:dyDescent="0.2">
      <c r="A122" s="124">
        <v>7</v>
      </c>
      <c r="B122" s="196">
        <f t="shared" si="35"/>
        <v>44743</v>
      </c>
      <c r="C122" s="217">
        <f t="shared" si="37"/>
        <v>44776</v>
      </c>
      <c r="D122" s="217">
        <f t="shared" si="37"/>
        <v>44796</v>
      </c>
      <c r="E122" s="54" t="s">
        <v>13</v>
      </c>
      <c r="F122" s="161">
        <v>9</v>
      </c>
      <c r="G122" s="198">
        <v>979</v>
      </c>
      <c r="H122" s="199">
        <f t="shared" si="25"/>
        <v>7.7465319548675735</v>
      </c>
      <c r="I122" s="199">
        <f t="shared" si="34"/>
        <v>3.5148822427931381</v>
      </c>
      <c r="J122" s="200">
        <f t="shared" si="36"/>
        <v>3441.0697156944821</v>
      </c>
      <c r="K122" s="207">
        <f t="shared" si="30"/>
        <v>7583.8547838153545</v>
      </c>
      <c r="L122" s="206">
        <f t="shared" si="38"/>
        <v>-4142.7850681208729</v>
      </c>
      <c r="M122" s="203">
        <f t="shared" si="26"/>
        <v>-226.22546993608083</v>
      </c>
      <c r="N122" s="204">
        <f t="shared" si="27"/>
        <v>-4369.0105380569539</v>
      </c>
      <c r="O122" s="203">
        <v>0</v>
      </c>
      <c r="P122" s="203">
        <v>0</v>
      </c>
      <c r="Q122" s="203">
        <v>0</v>
      </c>
      <c r="R122" s="204">
        <f t="shared" si="28"/>
        <v>-4369.0105380569539</v>
      </c>
    </row>
    <row r="123" spans="1:18" x14ac:dyDescent="0.2">
      <c r="A123" s="161">
        <v>8</v>
      </c>
      <c r="B123" s="196">
        <f t="shared" si="35"/>
        <v>44774</v>
      </c>
      <c r="C123" s="217">
        <f t="shared" si="37"/>
        <v>44809</v>
      </c>
      <c r="D123" s="217">
        <f t="shared" si="37"/>
        <v>44827</v>
      </c>
      <c r="E123" s="54" t="s">
        <v>13</v>
      </c>
      <c r="F123" s="161">
        <v>9</v>
      </c>
      <c r="G123" s="198">
        <v>973</v>
      </c>
      <c r="H123" s="199">
        <f t="shared" si="25"/>
        <v>7.7465319548675735</v>
      </c>
      <c r="I123" s="199">
        <f t="shared" si="34"/>
        <v>3.5148822427931381</v>
      </c>
      <c r="J123" s="200">
        <f t="shared" si="36"/>
        <v>3419.9804222377234</v>
      </c>
      <c r="K123" s="207">
        <f t="shared" si="30"/>
        <v>7537.3755920861486</v>
      </c>
      <c r="L123" s="206">
        <f t="shared" si="38"/>
        <v>-4117.3951698484252</v>
      </c>
      <c r="M123" s="203">
        <f t="shared" si="26"/>
        <v>-224.83900127457269</v>
      </c>
      <c r="N123" s="204">
        <f t="shared" si="27"/>
        <v>-4342.2341711229983</v>
      </c>
      <c r="O123" s="203">
        <v>0</v>
      </c>
      <c r="P123" s="203">
        <v>0</v>
      </c>
      <c r="Q123" s="203">
        <v>0</v>
      </c>
      <c r="R123" s="204">
        <f t="shared" si="28"/>
        <v>-4342.2341711229983</v>
      </c>
    </row>
    <row r="124" spans="1:18" x14ac:dyDescent="0.2">
      <c r="A124" s="161">
        <v>9</v>
      </c>
      <c r="B124" s="196">
        <f t="shared" si="35"/>
        <v>44805</v>
      </c>
      <c r="C124" s="217">
        <f t="shared" si="37"/>
        <v>44839</v>
      </c>
      <c r="D124" s="217">
        <f t="shared" si="37"/>
        <v>44859</v>
      </c>
      <c r="E124" s="54" t="s">
        <v>13</v>
      </c>
      <c r="F124" s="161">
        <v>9</v>
      </c>
      <c r="G124" s="198">
        <v>847</v>
      </c>
      <c r="H124" s="199">
        <f t="shared" si="25"/>
        <v>7.7465319548675735</v>
      </c>
      <c r="I124" s="199">
        <f t="shared" si="34"/>
        <v>3.5148822427931381</v>
      </c>
      <c r="J124" s="200">
        <f t="shared" si="36"/>
        <v>2977.105259645788</v>
      </c>
      <c r="K124" s="207">
        <f t="shared" si="30"/>
        <v>6561.3125657728351</v>
      </c>
      <c r="L124" s="206">
        <f t="shared" si="38"/>
        <v>-3584.2073061270471</v>
      </c>
      <c r="M124" s="203">
        <f t="shared" si="26"/>
        <v>-195.7231593829014</v>
      </c>
      <c r="N124" s="204">
        <f t="shared" si="27"/>
        <v>-3779.9304655099486</v>
      </c>
      <c r="O124" s="203">
        <v>0</v>
      </c>
      <c r="P124" s="203">
        <v>0</v>
      </c>
      <c r="Q124" s="203">
        <v>0</v>
      </c>
      <c r="R124" s="204">
        <f t="shared" si="28"/>
        <v>-3779.9304655099486</v>
      </c>
    </row>
    <row r="125" spans="1:18" x14ac:dyDescent="0.2">
      <c r="A125" s="124">
        <v>10</v>
      </c>
      <c r="B125" s="196">
        <f t="shared" si="35"/>
        <v>44835</v>
      </c>
      <c r="C125" s="217">
        <f t="shared" si="37"/>
        <v>44868</v>
      </c>
      <c r="D125" s="217">
        <f t="shared" si="37"/>
        <v>44888</v>
      </c>
      <c r="E125" s="54" t="s">
        <v>13</v>
      </c>
      <c r="F125" s="161">
        <v>9</v>
      </c>
      <c r="G125" s="198">
        <v>609</v>
      </c>
      <c r="H125" s="199">
        <f t="shared" si="25"/>
        <v>7.7465319548675735</v>
      </c>
      <c r="I125" s="199">
        <f t="shared" si="34"/>
        <v>3.5148822427931381</v>
      </c>
      <c r="J125" s="200">
        <f t="shared" si="36"/>
        <v>2140.5632858610211</v>
      </c>
      <c r="K125" s="207">
        <f t="shared" si="30"/>
        <v>4717.637960514352</v>
      </c>
      <c r="L125" s="206">
        <f t="shared" si="38"/>
        <v>-2577.0746746533309</v>
      </c>
      <c r="M125" s="203">
        <f t="shared" si="26"/>
        <v>-140.72656914307788</v>
      </c>
      <c r="N125" s="204">
        <f t="shared" si="27"/>
        <v>-2717.8012437964089</v>
      </c>
      <c r="O125" s="203">
        <v>0</v>
      </c>
      <c r="P125" s="203">
        <v>0</v>
      </c>
      <c r="Q125" s="203">
        <v>0</v>
      </c>
      <c r="R125" s="204">
        <f t="shared" si="28"/>
        <v>-2717.8012437964089</v>
      </c>
    </row>
    <row r="126" spans="1:18" x14ac:dyDescent="0.2">
      <c r="A126" s="161">
        <v>11</v>
      </c>
      <c r="B126" s="196">
        <f t="shared" si="35"/>
        <v>44866</v>
      </c>
      <c r="C126" s="217">
        <f t="shared" si="37"/>
        <v>44900</v>
      </c>
      <c r="D126" s="217">
        <f t="shared" si="37"/>
        <v>44918</v>
      </c>
      <c r="E126" s="54" t="s">
        <v>13</v>
      </c>
      <c r="F126" s="161">
        <v>9</v>
      </c>
      <c r="G126" s="198">
        <v>807</v>
      </c>
      <c r="H126" s="199">
        <f t="shared" si="25"/>
        <v>7.7465319548675735</v>
      </c>
      <c r="I126" s="199">
        <f t="shared" si="34"/>
        <v>3.5148822427931381</v>
      </c>
      <c r="J126" s="200">
        <f t="shared" si="36"/>
        <v>2836.5099699340626</v>
      </c>
      <c r="K126" s="207">
        <f t="shared" si="30"/>
        <v>6251.451287578132</v>
      </c>
      <c r="L126" s="206">
        <f t="shared" si="38"/>
        <v>-3414.9413176440694</v>
      </c>
      <c r="M126" s="203">
        <f t="shared" si="26"/>
        <v>-186.48003497284702</v>
      </c>
      <c r="N126" s="204">
        <f t="shared" si="27"/>
        <v>-3601.4213526169165</v>
      </c>
      <c r="O126" s="203">
        <v>0</v>
      </c>
      <c r="P126" s="203">
        <v>0</v>
      </c>
      <c r="Q126" s="203">
        <v>0</v>
      </c>
      <c r="R126" s="204">
        <f t="shared" si="28"/>
        <v>-3601.4213526169165</v>
      </c>
    </row>
    <row r="127" spans="1:18" s="221" customFormat="1" x14ac:dyDescent="0.2">
      <c r="A127" s="161">
        <v>12</v>
      </c>
      <c r="B127" s="219">
        <f t="shared" si="35"/>
        <v>44896</v>
      </c>
      <c r="C127" s="222">
        <f t="shared" si="37"/>
        <v>44930</v>
      </c>
      <c r="D127" s="222">
        <f t="shared" si="37"/>
        <v>44950</v>
      </c>
      <c r="E127" s="220" t="s">
        <v>13</v>
      </c>
      <c r="F127" s="172">
        <v>9</v>
      </c>
      <c r="G127" s="208">
        <v>1434</v>
      </c>
      <c r="H127" s="209">
        <f t="shared" si="25"/>
        <v>7.7465319548675735</v>
      </c>
      <c r="I127" s="209">
        <f t="shared" si="34"/>
        <v>3.5148822427931381</v>
      </c>
      <c r="J127" s="210">
        <f t="shared" si="36"/>
        <v>5040.3411361653598</v>
      </c>
      <c r="K127" s="211">
        <f t="shared" si="30"/>
        <v>11108.526823280101</v>
      </c>
      <c r="L127" s="212">
        <f t="shared" si="38"/>
        <v>-6068.1856871147411</v>
      </c>
      <c r="M127" s="203">
        <f t="shared" si="26"/>
        <v>-331.36601010044933</v>
      </c>
      <c r="N127" s="204">
        <f t="shared" si="27"/>
        <v>-6399.5516972151909</v>
      </c>
      <c r="O127" s="203">
        <v>0</v>
      </c>
      <c r="P127" s="203">
        <v>0</v>
      </c>
      <c r="Q127" s="203">
        <v>0</v>
      </c>
      <c r="R127" s="204">
        <f t="shared" si="28"/>
        <v>-6399.5516972151909</v>
      </c>
    </row>
    <row r="128" spans="1:18" x14ac:dyDescent="0.2">
      <c r="A128" s="124">
        <v>1</v>
      </c>
      <c r="B128" s="196">
        <f t="shared" si="35"/>
        <v>44562</v>
      </c>
      <c r="C128" s="217">
        <f t="shared" si="37"/>
        <v>44595</v>
      </c>
      <c r="D128" s="217">
        <f t="shared" si="37"/>
        <v>44615</v>
      </c>
      <c r="E128" s="197" t="s">
        <v>15</v>
      </c>
      <c r="F128" s="124">
        <v>9</v>
      </c>
      <c r="G128" s="198">
        <v>8</v>
      </c>
      <c r="H128" s="199">
        <f t="shared" si="25"/>
        <v>7.7465319548675735</v>
      </c>
      <c r="I128" s="199">
        <f t="shared" ref="I128:I147" si="39">$J$3</f>
        <v>3.5148822427931381</v>
      </c>
      <c r="J128" s="200">
        <f t="shared" si="36"/>
        <v>28.119057942345105</v>
      </c>
      <c r="K128" s="201">
        <f t="shared" si="30"/>
        <v>61.972255638940588</v>
      </c>
      <c r="L128" s="202">
        <f>+J128-K128</f>
        <v>-33.853197696595487</v>
      </c>
      <c r="M128" s="203">
        <f t="shared" si="26"/>
        <v>-1.8486248820108753</v>
      </c>
      <c r="N128" s="204">
        <f t="shared" si="27"/>
        <v>-35.701822578606361</v>
      </c>
      <c r="O128" s="203">
        <v>0</v>
      </c>
      <c r="P128" s="203">
        <v>0</v>
      </c>
      <c r="Q128" s="203">
        <v>0</v>
      </c>
      <c r="R128" s="204">
        <f t="shared" si="28"/>
        <v>-35.701822578606361</v>
      </c>
    </row>
    <row r="129" spans="1:18" x14ac:dyDescent="0.2">
      <c r="A129" s="161">
        <v>2</v>
      </c>
      <c r="B129" s="196">
        <f t="shared" si="35"/>
        <v>44593</v>
      </c>
      <c r="C129" s="217">
        <f t="shared" si="37"/>
        <v>44623</v>
      </c>
      <c r="D129" s="217">
        <f t="shared" si="37"/>
        <v>44642</v>
      </c>
      <c r="E129" s="205" t="s">
        <v>15</v>
      </c>
      <c r="F129" s="161">
        <v>9</v>
      </c>
      <c r="G129" s="198">
        <v>7</v>
      </c>
      <c r="H129" s="199">
        <f t="shared" si="25"/>
        <v>7.7465319548675735</v>
      </c>
      <c r="I129" s="199">
        <f t="shared" si="39"/>
        <v>3.5148822427931381</v>
      </c>
      <c r="J129" s="200">
        <f t="shared" si="36"/>
        <v>24.604175699551966</v>
      </c>
      <c r="K129" s="201">
        <f t="shared" si="30"/>
        <v>54.225723684073017</v>
      </c>
      <c r="L129" s="202">
        <f>+J129-K129</f>
        <v>-29.621547984521051</v>
      </c>
      <c r="M129" s="203">
        <f t="shared" si="26"/>
        <v>-1.6175467717595156</v>
      </c>
      <c r="N129" s="204">
        <f t="shared" si="27"/>
        <v>-31.239094756280565</v>
      </c>
      <c r="O129" s="203">
        <v>0</v>
      </c>
      <c r="P129" s="203">
        <v>0</v>
      </c>
      <c r="Q129" s="203">
        <v>0</v>
      </c>
      <c r="R129" s="204">
        <f t="shared" si="28"/>
        <v>-31.239094756280565</v>
      </c>
    </row>
    <row r="130" spans="1:18" x14ac:dyDescent="0.2">
      <c r="A130" s="161">
        <v>3</v>
      </c>
      <c r="B130" s="196">
        <f t="shared" si="35"/>
        <v>44621</v>
      </c>
      <c r="C130" s="217">
        <f t="shared" si="37"/>
        <v>44656</v>
      </c>
      <c r="D130" s="217">
        <f t="shared" si="37"/>
        <v>44676</v>
      </c>
      <c r="E130" s="205" t="s">
        <v>15</v>
      </c>
      <c r="F130" s="161">
        <v>9</v>
      </c>
      <c r="G130" s="198">
        <v>5</v>
      </c>
      <c r="H130" s="199">
        <f t="shared" si="25"/>
        <v>7.7465319548675735</v>
      </c>
      <c r="I130" s="199">
        <f t="shared" si="39"/>
        <v>3.5148822427931381</v>
      </c>
      <c r="J130" s="200">
        <f t="shared" si="36"/>
        <v>17.574411213965689</v>
      </c>
      <c r="K130" s="201">
        <f t="shared" si="30"/>
        <v>38.732659774337868</v>
      </c>
      <c r="L130" s="202">
        <f>+J130-K130</f>
        <v>-21.158248560372179</v>
      </c>
      <c r="M130" s="203">
        <f t="shared" si="26"/>
        <v>-1.155390551256797</v>
      </c>
      <c r="N130" s="204">
        <f t="shared" si="27"/>
        <v>-22.313639111628977</v>
      </c>
      <c r="O130" s="203">
        <v>0</v>
      </c>
      <c r="P130" s="203">
        <v>0</v>
      </c>
      <c r="Q130" s="203">
        <v>0</v>
      </c>
      <c r="R130" s="204">
        <f t="shared" si="28"/>
        <v>-22.313639111628977</v>
      </c>
    </row>
    <row r="131" spans="1:18" x14ac:dyDescent="0.2">
      <c r="A131" s="124">
        <v>4</v>
      </c>
      <c r="B131" s="196">
        <f t="shared" si="35"/>
        <v>44652</v>
      </c>
      <c r="C131" s="217">
        <f t="shared" si="37"/>
        <v>44685</v>
      </c>
      <c r="D131" s="217">
        <f t="shared" si="37"/>
        <v>44705</v>
      </c>
      <c r="E131" s="205" t="s">
        <v>15</v>
      </c>
      <c r="F131" s="161">
        <v>9</v>
      </c>
      <c r="G131" s="198">
        <v>7</v>
      </c>
      <c r="H131" s="199">
        <f t="shared" si="25"/>
        <v>7.7465319548675735</v>
      </c>
      <c r="I131" s="199">
        <f t="shared" si="39"/>
        <v>3.5148822427931381</v>
      </c>
      <c r="J131" s="200">
        <f t="shared" si="36"/>
        <v>24.604175699551966</v>
      </c>
      <c r="K131" s="201">
        <f t="shared" si="30"/>
        <v>54.225723684073017</v>
      </c>
      <c r="L131" s="202">
        <f t="shared" ref="L131:L141" si="40">+J131-K131</f>
        <v>-29.621547984521051</v>
      </c>
      <c r="M131" s="203">
        <f t="shared" si="26"/>
        <v>-1.6175467717595156</v>
      </c>
      <c r="N131" s="204">
        <f t="shared" si="27"/>
        <v>-31.239094756280565</v>
      </c>
      <c r="O131" s="203">
        <v>0</v>
      </c>
      <c r="P131" s="203">
        <v>0</v>
      </c>
      <c r="Q131" s="203">
        <v>0</v>
      </c>
      <c r="R131" s="204">
        <f t="shared" si="28"/>
        <v>-31.239094756280565</v>
      </c>
    </row>
    <row r="132" spans="1:18" x14ac:dyDescent="0.2">
      <c r="A132" s="161">
        <v>5</v>
      </c>
      <c r="B132" s="196">
        <f t="shared" si="35"/>
        <v>44682</v>
      </c>
      <c r="C132" s="217">
        <f t="shared" si="37"/>
        <v>44715</v>
      </c>
      <c r="D132" s="217">
        <f t="shared" si="37"/>
        <v>44735</v>
      </c>
      <c r="E132" s="54" t="s">
        <v>15</v>
      </c>
      <c r="F132" s="161">
        <v>9</v>
      </c>
      <c r="G132" s="198">
        <v>10</v>
      </c>
      <c r="H132" s="199">
        <f t="shared" si="25"/>
        <v>7.7465319548675735</v>
      </c>
      <c r="I132" s="199">
        <f t="shared" si="39"/>
        <v>3.5148822427931381</v>
      </c>
      <c r="J132" s="200">
        <f t="shared" si="36"/>
        <v>35.148822427931378</v>
      </c>
      <c r="K132" s="201">
        <f t="shared" si="30"/>
        <v>77.465319548675737</v>
      </c>
      <c r="L132" s="202">
        <f t="shared" si="40"/>
        <v>-42.316497120744359</v>
      </c>
      <c r="M132" s="203">
        <f t="shared" si="26"/>
        <v>-2.310781102513594</v>
      </c>
      <c r="N132" s="204">
        <f t="shared" si="27"/>
        <v>-44.627278223257953</v>
      </c>
      <c r="O132" s="203">
        <v>0</v>
      </c>
      <c r="P132" s="203">
        <v>0</v>
      </c>
      <c r="Q132" s="203">
        <v>0</v>
      </c>
      <c r="R132" s="204">
        <f t="shared" si="28"/>
        <v>-44.627278223257953</v>
      </c>
    </row>
    <row r="133" spans="1:18" x14ac:dyDescent="0.2">
      <c r="A133" s="161">
        <v>6</v>
      </c>
      <c r="B133" s="196">
        <f t="shared" si="35"/>
        <v>44713</v>
      </c>
      <c r="C133" s="217">
        <f t="shared" si="37"/>
        <v>44747</v>
      </c>
      <c r="D133" s="217">
        <f t="shared" si="37"/>
        <v>44767</v>
      </c>
      <c r="E133" s="54" t="s">
        <v>15</v>
      </c>
      <c r="F133" s="161">
        <v>9</v>
      </c>
      <c r="G133" s="198">
        <v>14</v>
      </c>
      <c r="H133" s="199">
        <f t="shared" si="25"/>
        <v>7.7465319548675735</v>
      </c>
      <c r="I133" s="199">
        <f t="shared" si="39"/>
        <v>3.5148822427931381</v>
      </c>
      <c r="J133" s="200">
        <f t="shared" si="36"/>
        <v>49.208351399103933</v>
      </c>
      <c r="K133" s="201">
        <f t="shared" si="30"/>
        <v>108.45144736814603</v>
      </c>
      <c r="L133" s="206">
        <f t="shared" si="40"/>
        <v>-59.243095969042102</v>
      </c>
      <c r="M133" s="203">
        <f t="shared" si="26"/>
        <v>-3.2350935435190311</v>
      </c>
      <c r="N133" s="204">
        <f t="shared" si="27"/>
        <v>-62.47818951256113</v>
      </c>
      <c r="O133" s="203">
        <v>0</v>
      </c>
      <c r="P133" s="203">
        <v>0</v>
      </c>
      <c r="Q133" s="203">
        <v>0</v>
      </c>
      <c r="R133" s="204">
        <f t="shared" si="28"/>
        <v>-62.47818951256113</v>
      </c>
    </row>
    <row r="134" spans="1:18" x14ac:dyDescent="0.2">
      <c r="A134" s="124">
        <v>7</v>
      </c>
      <c r="B134" s="196">
        <f t="shared" si="35"/>
        <v>44743</v>
      </c>
      <c r="C134" s="217">
        <f t="shared" si="37"/>
        <v>44776</v>
      </c>
      <c r="D134" s="217">
        <f t="shared" si="37"/>
        <v>44796</v>
      </c>
      <c r="E134" s="54" t="s">
        <v>15</v>
      </c>
      <c r="F134" s="161">
        <v>9</v>
      </c>
      <c r="G134" s="198">
        <v>18</v>
      </c>
      <c r="H134" s="199">
        <f t="shared" si="25"/>
        <v>7.7465319548675735</v>
      </c>
      <c r="I134" s="199">
        <f t="shared" si="39"/>
        <v>3.5148822427931381</v>
      </c>
      <c r="J134" s="200">
        <f t="shared" si="36"/>
        <v>63.267880370276487</v>
      </c>
      <c r="K134" s="207">
        <f t="shared" ref="K134:K197" si="41">+$G134*H134</f>
        <v>139.43757518761632</v>
      </c>
      <c r="L134" s="206">
        <f t="shared" si="40"/>
        <v>-76.169694817339831</v>
      </c>
      <c r="M134" s="203">
        <f t="shared" si="26"/>
        <v>-4.1594059845244695</v>
      </c>
      <c r="N134" s="204">
        <f t="shared" si="27"/>
        <v>-80.3291008018643</v>
      </c>
      <c r="O134" s="203">
        <v>0</v>
      </c>
      <c r="P134" s="203">
        <v>0</v>
      </c>
      <c r="Q134" s="203">
        <v>0</v>
      </c>
      <c r="R134" s="204">
        <f t="shared" si="28"/>
        <v>-80.3291008018643</v>
      </c>
    </row>
    <row r="135" spans="1:18" x14ac:dyDescent="0.2">
      <c r="A135" s="161">
        <v>8</v>
      </c>
      <c r="B135" s="196">
        <f t="shared" si="35"/>
        <v>44774</v>
      </c>
      <c r="C135" s="217">
        <f t="shared" si="37"/>
        <v>44809</v>
      </c>
      <c r="D135" s="217">
        <f t="shared" si="37"/>
        <v>44827</v>
      </c>
      <c r="E135" s="54" t="s">
        <v>15</v>
      </c>
      <c r="F135" s="161">
        <v>9</v>
      </c>
      <c r="G135" s="198">
        <v>16</v>
      </c>
      <c r="H135" s="199">
        <f t="shared" si="25"/>
        <v>7.7465319548675735</v>
      </c>
      <c r="I135" s="199">
        <f t="shared" si="39"/>
        <v>3.5148822427931381</v>
      </c>
      <c r="J135" s="200">
        <f t="shared" si="36"/>
        <v>56.23811588469021</v>
      </c>
      <c r="K135" s="207">
        <f t="shared" si="41"/>
        <v>123.94451127788118</v>
      </c>
      <c r="L135" s="206">
        <f t="shared" si="40"/>
        <v>-67.706395393190974</v>
      </c>
      <c r="M135" s="203">
        <f t="shared" si="26"/>
        <v>-3.6972497640217505</v>
      </c>
      <c r="N135" s="204">
        <f t="shared" si="27"/>
        <v>-71.403645157212722</v>
      </c>
      <c r="O135" s="203">
        <v>0</v>
      </c>
      <c r="P135" s="203">
        <v>0</v>
      </c>
      <c r="Q135" s="203">
        <v>0</v>
      </c>
      <c r="R135" s="204">
        <f t="shared" si="28"/>
        <v>-71.403645157212722</v>
      </c>
    </row>
    <row r="136" spans="1:18" x14ac:dyDescent="0.2">
      <c r="A136" s="161">
        <v>9</v>
      </c>
      <c r="B136" s="196">
        <f t="shared" si="35"/>
        <v>44805</v>
      </c>
      <c r="C136" s="217">
        <f t="shared" si="37"/>
        <v>44839</v>
      </c>
      <c r="D136" s="217">
        <f t="shared" si="37"/>
        <v>44859</v>
      </c>
      <c r="E136" s="54" t="s">
        <v>15</v>
      </c>
      <c r="F136" s="161">
        <v>9</v>
      </c>
      <c r="G136" s="198">
        <v>9</v>
      </c>
      <c r="H136" s="199">
        <f t="shared" si="25"/>
        <v>7.7465319548675735</v>
      </c>
      <c r="I136" s="199">
        <f t="shared" si="39"/>
        <v>3.5148822427931381</v>
      </c>
      <c r="J136" s="200">
        <f t="shared" si="36"/>
        <v>31.633940185138243</v>
      </c>
      <c r="K136" s="207">
        <f t="shared" si="41"/>
        <v>69.718787593808159</v>
      </c>
      <c r="L136" s="206">
        <f t="shared" si="40"/>
        <v>-38.084847408669916</v>
      </c>
      <c r="M136" s="203">
        <f t="shared" si="26"/>
        <v>-2.0797029922622348</v>
      </c>
      <c r="N136" s="204">
        <f t="shared" si="27"/>
        <v>-40.16455040093215</v>
      </c>
      <c r="O136" s="203">
        <v>0</v>
      </c>
      <c r="P136" s="203">
        <v>0</v>
      </c>
      <c r="Q136" s="203">
        <v>0</v>
      </c>
      <c r="R136" s="204">
        <f t="shared" si="28"/>
        <v>-40.16455040093215</v>
      </c>
    </row>
    <row r="137" spans="1:18" x14ac:dyDescent="0.2">
      <c r="A137" s="124">
        <v>10</v>
      </c>
      <c r="B137" s="196">
        <f t="shared" si="35"/>
        <v>44835</v>
      </c>
      <c r="C137" s="217">
        <f t="shared" si="37"/>
        <v>44868</v>
      </c>
      <c r="D137" s="217">
        <f t="shared" si="37"/>
        <v>44888</v>
      </c>
      <c r="E137" s="54" t="s">
        <v>15</v>
      </c>
      <c r="F137" s="161">
        <v>9</v>
      </c>
      <c r="G137" s="198">
        <v>6</v>
      </c>
      <c r="H137" s="199">
        <f t="shared" si="25"/>
        <v>7.7465319548675735</v>
      </c>
      <c r="I137" s="199">
        <f t="shared" si="39"/>
        <v>3.5148822427931381</v>
      </c>
      <c r="J137" s="200">
        <f t="shared" si="36"/>
        <v>21.089293456758828</v>
      </c>
      <c r="K137" s="207">
        <f t="shared" si="41"/>
        <v>46.479191729205439</v>
      </c>
      <c r="L137" s="206">
        <f t="shared" si="40"/>
        <v>-25.389898272446612</v>
      </c>
      <c r="M137" s="203">
        <f t="shared" si="26"/>
        <v>-1.3864686615081563</v>
      </c>
      <c r="N137" s="204">
        <f t="shared" si="27"/>
        <v>-26.776366933954769</v>
      </c>
      <c r="O137" s="203">
        <v>0</v>
      </c>
      <c r="P137" s="203">
        <v>0</v>
      </c>
      <c r="Q137" s="203">
        <v>0</v>
      </c>
      <c r="R137" s="204">
        <f t="shared" si="28"/>
        <v>-26.776366933954769</v>
      </c>
    </row>
    <row r="138" spans="1:18" x14ac:dyDescent="0.2">
      <c r="A138" s="161">
        <v>11</v>
      </c>
      <c r="B138" s="196">
        <f t="shared" si="35"/>
        <v>44866</v>
      </c>
      <c r="C138" s="217">
        <f t="shared" si="37"/>
        <v>44900</v>
      </c>
      <c r="D138" s="217">
        <f t="shared" si="37"/>
        <v>44918</v>
      </c>
      <c r="E138" s="54" t="s">
        <v>15</v>
      </c>
      <c r="F138" s="161">
        <v>9</v>
      </c>
      <c r="G138" s="198">
        <v>6</v>
      </c>
      <c r="H138" s="199">
        <f t="shared" si="25"/>
        <v>7.7465319548675735</v>
      </c>
      <c r="I138" s="199">
        <f t="shared" si="39"/>
        <v>3.5148822427931381</v>
      </c>
      <c r="J138" s="200">
        <f t="shared" si="36"/>
        <v>21.089293456758828</v>
      </c>
      <c r="K138" s="207">
        <f t="shared" si="41"/>
        <v>46.479191729205439</v>
      </c>
      <c r="L138" s="206">
        <f t="shared" si="40"/>
        <v>-25.389898272446612</v>
      </c>
      <c r="M138" s="203">
        <f t="shared" si="26"/>
        <v>-1.3864686615081563</v>
      </c>
      <c r="N138" s="204">
        <f t="shared" si="27"/>
        <v>-26.776366933954769</v>
      </c>
      <c r="O138" s="203">
        <v>0</v>
      </c>
      <c r="P138" s="203">
        <v>0</v>
      </c>
      <c r="Q138" s="203">
        <v>0</v>
      </c>
      <c r="R138" s="204">
        <f t="shared" si="28"/>
        <v>-26.776366933954769</v>
      </c>
    </row>
    <row r="139" spans="1:18" s="221" customFormat="1" x14ac:dyDescent="0.2">
      <c r="A139" s="161">
        <v>12</v>
      </c>
      <c r="B139" s="219">
        <f t="shared" si="35"/>
        <v>44896</v>
      </c>
      <c r="C139" s="217">
        <f t="shared" si="37"/>
        <v>44930</v>
      </c>
      <c r="D139" s="217">
        <f t="shared" si="37"/>
        <v>44950</v>
      </c>
      <c r="E139" s="220" t="s">
        <v>15</v>
      </c>
      <c r="F139" s="172">
        <v>9</v>
      </c>
      <c r="G139" s="208">
        <v>8</v>
      </c>
      <c r="H139" s="209">
        <f t="shared" si="25"/>
        <v>7.7465319548675735</v>
      </c>
      <c r="I139" s="209">
        <f t="shared" si="39"/>
        <v>3.5148822427931381</v>
      </c>
      <c r="J139" s="210">
        <f t="shared" si="36"/>
        <v>28.119057942345105</v>
      </c>
      <c r="K139" s="211">
        <f t="shared" si="41"/>
        <v>61.972255638940588</v>
      </c>
      <c r="L139" s="212">
        <f t="shared" si="40"/>
        <v>-33.853197696595487</v>
      </c>
      <c r="M139" s="203">
        <f t="shared" si="26"/>
        <v>-1.8486248820108753</v>
      </c>
      <c r="N139" s="204">
        <f t="shared" si="27"/>
        <v>-35.701822578606361</v>
      </c>
      <c r="O139" s="203">
        <v>0</v>
      </c>
      <c r="P139" s="203">
        <v>0</v>
      </c>
      <c r="Q139" s="203">
        <v>0</v>
      </c>
      <c r="R139" s="204">
        <f t="shared" si="28"/>
        <v>-35.701822578606361</v>
      </c>
    </row>
    <row r="140" spans="1:18" x14ac:dyDescent="0.2">
      <c r="A140" s="124">
        <v>1</v>
      </c>
      <c r="B140" s="196">
        <f t="shared" si="35"/>
        <v>44562</v>
      </c>
      <c r="C140" s="214">
        <f t="shared" ref="C140:D151" si="42">+C128</f>
        <v>44595</v>
      </c>
      <c r="D140" s="214">
        <f t="shared" si="42"/>
        <v>44615</v>
      </c>
      <c r="E140" s="224" t="s">
        <v>16</v>
      </c>
      <c r="F140" s="161">
        <v>9</v>
      </c>
      <c r="G140" s="198">
        <v>3</v>
      </c>
      <c r="H140" s="199">
        <f t="shared" si="25"/>
        <v>7.7465319548675735</v>
      </c>
      <c r="I140" s="199">
        <f t="shared" si="39"/>
        <v>3.5148822427931381</v>
      </c>
      <c r="J140" s="200">
        <f t="shared" si="36"/>
        <v>10.544646728379414</v>
      </c>
      <c r="K140" s="201">
        <f t="shared" si="41"/>
        <v>23.23959586460272</v>
      </c>
      <c r="L140" s="202">
        <f t="shared" si="40"/>
        <v>-12.694949136223306</v>
      </c>
      <c r="M140" s="203">
        <f t="shared" si="26"/>
        <v>-0.69323433075407814</v>
      </c>
      <c r="N140" s="204">
        <f t="shared" si="27"/>
        <v>-13.388183466977384</v>
      </c>
      <c r="O140" s="203">
        <v>0</v>
      </c>
      <c r="P140" s="203">
        <v>0</v>
      </c>
      <c r="Q140" s="203">
        <v>0</v>
      </c>
      <c r="R140" s="204">
        <f t="shared" si="28"/>
        <v>-13.388183466977384</v>
      </c>
    </row>
    <row r="141" spans="1:18" x14ac:dyDescent="0.2">
      <c r="A141" s="161">
        <v>2</v>
      </c>
      <c r="B141" s="196">
        <f t="shared" si="35"/>
        <v>44593</v>
      </c>
      <c r="C141" s="217">
        <f t="shared" si="42"/>
        <v>44623</v>
      </c>
      <c r="D141" s="217">
        <f t="shared" si="42"/>
        <v>44642</v>
      </c>
      <c r="E141" s="54" t="s">
        <v>16</v>
      </c>
      <c r="F141" s="161">
        <v>9</v>
      </c>
      <c r="G141" s="198">
        <v>2</v>
      </c>
      <c r="H141" s="199">
        <f t="shared" si="25"/>
        <v>7.7465319548675735</v>
      </c>
      <c r="I141" s="199">
        <f t="shared" si="39"/>
        <v>3.5148822427931381</v>
      </c>
      <c r="J141" s="200">
        <f t="shared" si="36"/>
        <v>7.0297644855862762</v>
      </c>
      <c r="K141" s="201">
        <f t="shared" si="41"/>
        <v>15.493063909735147</v>
      </c>
      <c r="L141" s="202">
        <f t="shared" si="40"/>
        <v>-8.4632994241488717</v>
      </c>
      <c r="M141" s="203">
        <f t="shared" si="26"/>
        <v>-0.46215622050271882</v>
      </c>
      <c r="N141" s="204">
        <f t="shared" si="27"/>
        <v>-8.9254556446515902</v>
      </c>
      <c r="O141" s="203">
        <v>0</v>
      </c>
      <c r="P141" s="203">
        <v>0</v>
      </c>
      <c r="Q141" s="203">
        <v>0</v>
      </c>
      <c r="R141" s="204">
        <f t="shared" si="28"/>
        <v>-8.9254556446515902</v>
      </c>
    </row>
    <row r="142" spans="1:18" x14ac:dyDescent="0.2">
      <c r="A142" s="161">
        <v>3</v>
      </c>
      <c r="B142" s="196">
        <f t="shared" si="35"/>
        <v>44621</v>
      </c>
      <c r="C142" s="217">
        <f t="shared" si="42"/>
        <v>44656</v>
      </c>
      <c r="D142" s="217">
        <f t="shared" si="42"/>
        <v>44676</v>
      </c>
      <c r="E142" s="54" t="s">
        <v>16</v>
      </c>
      <c r="F142" s="161">
        <v>9</v>
      </c>
      <c r="G142" s="198">
        <v>3</v>
      </c>
      <c r="H142" s="199">
        <f t="shared" si="25"/>
        <v>7.7465319548675735</v>
      </c>
      <c r="I142" s="199">
        <f t="shared" si="39"/>
        <v>3.5148822427931381</v>
      </c>
      <c r="J142" s="200">
        <f t="shared" si="36"/>
        <v>10.544646728379414</v>
      </c>
      <c r="K142" s="201">
        <f t="shared" si="41"/>
        <v>23.23959586460272</v>
      </c>
      <c r="L142" s="202">
        <f>+J142-K142</f>
        <v>-12.694949136223306</v>
      </c>
      <c r="M142" s="203">
        <f t="shared" si="26"/>
        <v>-0.69323433075407814</v>
      </c>
      <c r="N142" s="204">
        <f t="shared" si="27"/>
        <v>-13.388183466977384</v>
      </c>
      <c r="O142" s="203">
        <v>0</v>
      </c>
      <c r="P142" s="203">
        <v>0</v>
      </c>
      <c r="Q142" s="203">
        <v>0</v>
      </c>
      <c r="R142" s="204">
        <f t="shared" si="28"/>
        <v>-13.388183466977384</v>
      </c>
    </row>
    <row r="143" spans="1:18" x14ac:dyDescent="0.2">
      <c r="A143" s="124">
        <v>4</v>
      </c>
      <c r="B143" s="196">
        <f t="shared" si="35"/>
        <v>44652</v>
      </c>
      <c r="C143" s="217">
        <f t="shared" si="42"/>
        <v>44685</v>
      </c>
      <c r="D143" s="217">
        <f t="shared" si="42"/>
        <v>44705</v>
      </c>
      <c r="E143" s="54" t="s">
        <v>16</v>
      </c>
      <c r="F143" s="161">
        <v>9</v>
      </c>
      <c r="G143" s="198">
        <v>2</v>
      </c>
      <c r="H143" s="199">
        <f t="shared" si="25"/>
        <v>7.7465319548675735</v>
      </c>
      <c r="I143" s="199">
        <f t="shared" si="39"/>
        <v>3.5148822427931381</v>
      </c>
      <c r="J143" s="200">
        <f t="shared" si="36"/>
        <v>7.0297644855862762</v>
      </c>
      <c r="K143" s="201">
        <f t="shared" si="41"/>
        <v>15.493063909735147</v>
      </c>
      <c r="L143" s="202">
        <f t="shared" ref="L143:L153" si="43">+J143-K143</f>
        <v>-8.4632994241488717</v>
      </c>
      <c r="M143" s="203">
        <f t="shared" si="26"/>
        <v>-0.46215622050271882</v>
      </c>
      <c r="N143" s="204">
        <f t="shared" si="27"/>
        <v>-8.9254556446515902</v>
      </c>
      <c r="O143" s="203">
        <v>0</v>
      </c>
      <c r="P143" s="203">
        <v>0</v>
      </c>
      <c r="Q143" s="203">
        <v>0</v>
      </c>
      <c r="R143" s="204">
        <f t="shared" si="28"/>
        <v>-8.9254556446515902</v>
      </c>
    </row>
    <row r="144" spans="1:18" x14ac:dyDescent="0.2">
      <c r="A144" s="161">
        <v>5</v>
      </c>
      <c r="B144" s="196">
        <f t="shared" si="35"/>
        <v>44682</v>
      </c>
      <c r="C144" s="217">
        <f t="shared" si="42"/>
        <v>44715</v>
      </c>
      <c r="D144" s="217">
        <f t="shared" si="42"/>
        <v>44735</v>
      </c>
      <c r="E144" s="54" t="s">
        <v>16</v>
      </c>
      <c r="F144" s="161">
        <v>9</v>
      </c>
      <c r="G144" s="198">
        <v>3</v>
      </c>
      <c r="H144" s="199">
        <f t="shared" si="25"/>
        <v>7.7465319548675735</v>
      </c>
      <c r="I144" s="199">
        <f t="shared" si="39"/>
        <v>3.5148822427931381</v>
      </c>
      <c r="J144" s="200">
        <f t="shared" si="36"/>
        <v>10.544646728379414</v>
      </c>
      <c r="K144" s="201">
        <f t="shared" si="41"/>
        <v>23.23959586460272</v>
      </c>
      <c r="L144" s="202">
        <f t="shared" si="43"/>
        <v>-12.694949136223306</v>
      </c>
      <c r="M144" s="203">
        <f t="shared" si="26"/>
        <v>-0.69323433075407814</v>
      </c>
      <c r="N144" s="204">
        <f t="shared" si="27"/>
        <v>-13.388183466977384</v>
      </c>
      <c r="O144" s="203">
        <v>0</v>
      </c>
      <c r="P144" s="203">
        <v>0</v>
      </c>
      <c r="Q144" s="203">
        <v>0</v>
      </c>
      <c r="R144" s="204">
        <f t="shared" si="28"/>
        <v>-13.388183466977384</v>
      </c>
    </row>
    <row r="145" spans="1:19" x14ac:dyDescent="0.2">
      <c r="A145" s="161">
        <v>6</v>
      </c>
      <c r="B145" s="196">
        <f t="shared" si="35"/>
        <v>44713</v>
      </c>
      <c r="C145" s="217">
        <f t="shared" si="42"/>
        <v>44747</v>
      </c>
      <c r="D145" s="217">
        <f t="shared" si="42"/>
        <v>44767</v>
      </c>
      <c r="E145" s="54" t="s">
        <v>16</v>
      </c>
      <c r="F145" s="161">
        <v>9</v>
      </c>
      <c r="G145" s="198">
        <v>5</v>
      </c>
      <c r="H145" s="199">
        <f t="shared" si="25"/>
        <v>7.7465319548675735</v>
      </c>
      <c r="I145" s="199">
        <f t="shared" si="39"/>
        <v>3.5148822427931381</v>
      </c>
      <c r="J145" s="200">
        <f t="shared" si="36"/>
        <v>17.574411213965689</v>
      </c>
      <c r="K145" s="201">
        <f t="shared" si="41"/>
        <v>38.732659774337868</v>
      </c>
      <c r="L145" s="206">
        <f t="shared" si="43"/>
        <v>-21.158248560372179</v>
      </c>
      <c r="M145" s="203">
        <f t="shared" si="26"/>
        <v>-1.155390551256797</v>
      </c>
      <c r="N145" s="204">
        <f t="shared" si="27"/>
        <v>-22.313639111628977</v>
      </c>
      <c r="O145" s="203">
        <v>0</v>
      </c>
      <c r="P145" s="203">
        <v>0</v>
      </c>
      <c r="Q145" s="203">
        <v>0</v>
      </c>
      <c r="R145" s="204">
        <f t="shared" si="28"/>
        <v>-22.313639111628977</v>
      </c>
    </row>
    <row r="146" spans="1:19" x14ac:dyDescent="0.2">
      <c r="A146" s="124">
        <v>7</v>
      </c>
      <c r="B146" s="196">
        <f t="shared" si="35"/>
        <v>44743</v>
      </c>
      <c r="C146" s="217">
        <f t="shared" si="42"/>
        <v>44776</v>
      </c>
      <c r="D146" s="217">
        <f t="shared" si="42"/>
        <v>44796</v>
      </c>
      <c r="E146" s="54" t="s">
        <v>16</v>
      </c>
      <c r="F146" s="161">
        <v>9</v>
      </c>
      <c r="G146" s="198">
        <v>6</v>
      </c>
      <c r="H146" s="199">
        <f t="shared" si="25"/>
        <v>7.7465319548675735</v>
      </c>
      <c r="I146" s="199">
        <f t="shared" si="39"/>
        <v>3.5148822427931381</v>
      </c>
      <c r="J146" s="200">
        <f t="shared" si="36"/>
        <v>21.089293456758828</v>
      </c>
      <c r="K146" s="207">
        <f t="shared" si="41"/>
        <v>46.479191729205439</v>
      </c>
      <c r="L146" s="206">
        <f t="shared" si="43"/>
        <v>-25.389898272446612</v>
      </c>
      <c r="M146" s="203">
        <f t="shared" si="26"/>
        <v>-1.3864686615081563</v>
      </c>
      <c r="N146" s="204">
        <f t="shared" si="27"/>
        <v>-26.776366933954769</v>
      </c>
      <c r="O146" s="203">
        <v>0</v>
      </c>
      <c r="P146" s="203">
        <v>0</v>
      </c>
      <c r="Q146" s="203">
        <v>0</v>
      </c>
      <c r="R146" s="204">
        <f t="shared" si="28"/>
        <v>-26.776366933954769</v>
      </c>
    </row>
    <row r="147" spans="1:19" x14ac:dyDescent="0.2">
      <c r="A147" s="161">
        <v>8</v>
      </c>
      <c r="B147" s="196">
        <f t="shared" si="35"/>
        <v>44774</v>
      </c>
      <c r="C147" s="217">
        <f t="shared" si="42"/>
        <v>44809</v>
      </c>
      <c r="D147" s="217">
        <f t="shared" si="42"/>
        <v>44827</v>
      </c>
      <c r="E147" s="54" t="s">
        <v>16</v>
      </c>
      <c r="F147" s="161">
        <v>9</v>
      </c>
      <c r="G147" s="198">
        <v>6</v>
      </c>
      <c r="H147" s="199">
        <f t="shared" si="25"/>
        <v>7.7465319548675735</v>
      </c>
      <c r="I147" s="199">
        <f t="shared" si="39"/>
        <v>3.5148822427931381</v>
      </c>
      <c r="J147" s="200">
        <f t="shared" si="36"/>
        <v>21.089293456758828</v>
      </c>
      <c r="K147" s="207">
        <f t="shared" si="41"/>
        <v>46.479191729205439</v>
      </c>
      <c r="L147" s="206">
        <f t="shared" si="43"/>
        <v>-25.389898272446612</v>
      </c>
      <c r="M147" s="203">
        <f t="shared" si="26"/>
        <v>-1.3864686615081563</v>
      </c>
      <c r="N147" s="204">
        <f t="shared" si="27"/>
        <v>-26.776366933954769</v>
      </c>
      <c r="O147" s="203">
        <v>0</v>
      </c>
      <c r="P147" s="203">
        <v>0</v>
      </c>
      <c r="Q147" s="203">
        <v>0</v>
      </c>
      <c r="R147" s="204">
        <f t="shared" si="28"/>
        <v>-26.776366933954769</v>
      </c>
    </row>
    <row r="148" spans="1:19" x14ac:dyDescent="0.2">
      <c r="A148" s="161">
        <v>9</v>
      </c>
      <c r="B148" s="196">
        <f t="shared" si="35"/>
        <v>44805</v>
      </c>
      <c r="C148" s="217">
        <f t="shared" si="42"/>
        <v>44839</v>
      </c>
      <c r="D148" s="217">
        <f t="shared" si="42"/>
        <v>44859</v>
      </c>
      <c r="E148" s="54" t="s">
        <v>16</v>
      </c>
      <c r="F148" s="161">
        <v>9</v>
      </c>
      <c r="G148" s="198">
        <v>3</v>
      </c>
      <c r="H148" s="199">
        <f t="shared" si="25"/>
        <v>7.7465319548675735</v>
      </c>
      <c r="I148" s="199">
        <f t="shared" ref="I148:I179" si="44">$J$3</f>
        <v>3.5148822427931381</v>
      </c>
      <c r="J148" s="200">
        <f t="shared" si="36"/>
        <v>10.544646728379414</v>
      </c>
      <c r="K148" s="207">
        <f t="shared" si="41"/>
        <v>23.23959586460272</v>
      </c>
      <c r="L148" s="206">
        <f t="shared" si="43"/>
        <v>-12.694949136223306</v>
      </c>
      <c r="M148" s="203">
        <f t="shared" si="26"/>
        <v>-0.69323433075407814</v>
      </c>
      <c r="N148" s="204">
        <f t="shared" si="27"/>
        <v>-13.388183466977384</v>
      </c>
      <c r="O148" s="203">
        <v>0</v>
      </c>
      <c r="P148" s="203">
        <v>0</v>
      </c>
      <c r="Q148" s="203">
        <v>0</v>
      </c>
      <c r="R148" s="204">
        <f t="shared" si="28"/>
        <v>-13.388183466977384</v>
      </c>
    </row>
    <row r="149" spans="1:19" x14ac:dyDescent="0.2">
      <c r="A149" s="124">
        <v>10</v>
      </c>
      <c r="B149" s="196">
        <f t="shared" ref="B149:B211" si="45">DATE($R$1,A149,1)</f>
        <v>44835</v>
      </c>
      <c r="C149" s="217">
        <f t="shared" si="42"/>
        <v>44868</v>
      </c>
      <c r="D149" s="217">
        <f t="shared" si="42"/>
        <v>44888</v>
      </c>
      <c r="E149" s="54" t="s">
        <v>16</v>
      </c>
      <c r="F149" s="161">
        <v>9</v>
      </c>
      <c r="G149" s="198">
        <v>2</v>
      </c>
      <c r="H149" s="199">
        <f t="shared" ref="H149:H211" si="46">+$K$3</f>
        <v>7.7465319548675735</v>
      </c>
      <c r="I149" s="199">
        <f t="shared" si="44"/>
        <v>3.5148822427931381</v>
      </c>
      <c r="J149" s="200">
        <f t="shared" ref="J149:J211" si="47">+$G149*I149</f>
        <v>7.0297644855862762</v>
      </c>
      <c r="K149" s="207">
        <f t="shared" si="41"/>
        <v>15.493063909735147</v>
      </c>
      <c r="L149" s="206">
        <f t="shared" si="43"/>
        <v>-8.4632994241488717</v>
      </c>
      <c r="M149" s="203">
        <f t="shared" ref="M149:M211" si="48">G149/$G$212*$M$14</f>
        <v>-0.46215622050271882</v>
      </c>
      <c r="N149" s="204">
        <f t="shared" ref="N149:N211" si="49">SUM(L149:M149)</f>
        <v>-8.9254556446515902</v>
      </c>
      <c r="O149" s="203">
        <v>0</v>
      </c>
      <c r="P149" s="203">
        <v>0</v>
      </c>
      <c r="Q149" s="203">
        <v>0</v>
      </c>
      <c r="R149" s="204">
        <f t="shared" ref="R149:R211" si="50">+N149-Q149</f>
        <v>-8.9254556446515902</v>
      </c>
    </row>
    <row r="150" spans="1:19" x14ac:dyDescent="0.2">
      <c r="A150" s="161">
        <v>11</v>
      </c>
      <c r="B150" s="196">
        <f t="shared" si="45"/>
        <v>44866</v>
      </c>
      <c r="C150" s="217">
        <f t="shared" si="42"/>
        <v>44900</v>
      </c>
      <c r="D150" s="217">
        <f t="shared" si="42"/>
        <v>44918</v>
      </c>
      <c r="E150" s="54" t="s">
        <v>16</v>
      </c>
      <c r="F150" s="161">
        <v>9</v>
      </c>
      <c r="G150" s="198">
        <v>1</v>
      </c>
      <c r="H150" s="199">
        <f t="shared" si="46"/>
        <v>7.7465319548675735</v>
      </c>
      <c r="I150" s="199">
        <f t="shared" si="44"/>
        <v>3.5148822427931381</v>
      </c>
      <c r="J150" s="200">
        <f t="shared" si="47"/>
        <v>3.5148822427931381</v>
      </c>
      <c r="K150" s="207">
        <f t="shared" si="41"/>
        <v>7.7465319548675735</v>
      </c>
      <c r="L150" s="206">
        <f t="shared" si="43"/>
        <v>-4.2316497120744359</v>
      </c>
      <c r="M150" s="203">
        <f t="shared" si="48"/>
        <v>-0.23107811025135941</v>
      </c>
      <c r="N150" s="204">
        <f t="shared" si="49"/>
        <v>-4.4627278223257951</v>
      </c>
      <c r="O150" s="203">
        <v>0</v>
      </c>
      <c r="P150" s="203">
        <v>0</v>
      </c>
      <c r="Q150" s="203">
        <v>0</v>
      </c>
      <c r="R150" s="204">
        <f t="shared" si="50"/>
        <v>-4.4627278223257951</v>
      </c>
    </row>
    <row r="151" spans="1:19" s="221" customFormat="1" x14ac:dyDescent="0.2">
      <c r="A151" s="161">
        <v>12</v>
      </c>
      <c r="B151" s="219">
        <f t="shared" si="45"/>
        <v>44896</v>
      </c>
      <c r="C151" s="217">
        <f t="shared" si="42"/>
        <v>44930</v>
      </c>
      <c r="D151" s="217">
        <f t="shared" si="42"/>
        <v>44950</v>
      </c>
      <c r="E151" s="220" t="s">
        <v>16</v>
      </c>
      <c r="F151" s="172">
        <v>9</v>
      </c>
      <c r="G151" s="208">
        <v>4</v>
      </c>
      <c r="H151" s="209">
        <f t="shared" si="46"/>
        <v>7.7465319548675735</v>
      </c>
      <c r="I151" s="209">
        <f t="shared" si="44"/>
        <v>3.5148822427931381</v>
      </c>
      <c r="J151" s="210">
        <f t="shared" si="47"/>
        <v>14.059528971172552</v>
      </c>
      <c r="K151" s="211">
        <f t="shared" si="41"/>
        <v>30.986127819470294</v>
      </c>
      <c r="L151" s="212">
        <f t="shared" si="43"/>
        <v>-16.926598848297743</v>
      </c>
      <c r="M151" s="203">
        <f t="shared" si="48"/>
        <v>-0.92431244100543763</v>
      </c>
      <c r="N151" s="204">
        <f t="shared" si="49"/>
        <v>-17.85091128930318</v>
      </c>
      <c r="O151" s="203">
        <v>0</v>
      </c>
      <c r="P151" s="203">
        <v>0</v>
      </c>
      <c r="Q151" s="203">
        <v>0</v>
      </c>
      <c r="R151" s="204">
        <f t="shared" si="50"/>
        <v>-17.85091128930318</v>
      </c>
    </row>
    <row r="152" spans="1:19" x14ac:dyDescent="0.2">
      <c r="A152" s="124">
        <v>1</v>
      </c>
      <c r="B152" s="196">
        <f t="shared" si="45"/>
        <v>44562</v>
      </c>
      <c r="C152" s="214">
        <f t="shared" ref="C152:D171" si="51">+C140</f>
        <v>44595</v>
      </c>
      <c r="D152" s="214">
        <f t="shared" si="51"/>
        <v>44615</v>
      </c>
      <c r="E152" s="224" t="s">
        <v>53</v>
      </c>
      <c r="F152" s="124">
        <v>9</v>
      </c>
      <c r="G152" s="198">
        <v>121</v>
      </c>
      <c r="H152" s="199">
        <f t="shared" si="46"/>
        <v>7.7465319548675735</v>
      </c>
      <c r="I152" s="199">
        <f t="shared" si="44"/>
        <v>3.5148822427931381</v>
      </c>
      <c r="J152" s="200">
        <f t="shared" si="47"/>
        <v>425.30075137796973</v>
      </c>
      <c r="K152" s="201">
        <f t="shared" si="41"/>
        <v>937.33036653897636</v>
      </c>
      <c r="L152" s="202">
        <f t="shared" si="43"/>
        <v>-512.02961516100663</v>
      </c>
      <c r="M152" s="203">
        <f t="shared" si="48"/>
        <v>-27.960451340414487</v>
      </c>
      <c r="N152" s="204">
        <f t="shared" si="49"/>
        <v>-539.9900665014211</v>
      </c>
      <c r="O152" s="203">
        <v>0</v>
      </c>
      <c r="P152" s="203">
        <v>0</v>
      </c>
      <c r="Q152" s="203">
        <v>0</v>
      </c>
      <c r="R152" s="204">
        <f t="shared" si="50"/>
        <v>-539.9900665014211</v>
      </c>
    </row>
    <row r="153" spans="1:19" x14ac:dyDescent="0.2">
      <c r="A153" s="161">
        <v>2</v>
      </c>
      <c r="B153" s="196">
        <f t="shared" si="45"/>
        <v>44593</v>
      </c>
      <c r="C153" s="217">
        <f t="shared" si="51"/>
        <v>44623</v>
      </c>
      <c r="D153" s="217">
        <f t="shared" si="51"/>
        <v>44642</v>
      </c>
      <c r="E153" s="225" t="s">
        <v>53</v>
      </c>
      <c r="F153" s="161">
        <v>9</v>
      </c>
      <c r="G153" s="198">
        <v>109</v>
      </c>
      <c r="H153" s="199">
        <f t="shared" si="46"/>
        <v>7.7465319548675735</v>
      </c>
      <c r="I153" s="199">
        <f t="shared" si="44"/>
        <v>3.5148822427931381</v>
      </c>
      <c r="J153" s="200">
        <f t="shared" si="47"/>
        <v>383.12216446445206</v>
      </c>
      <c r="K153" s="201">
        <f t="shared" si="41"/>
        <v>844.37198308056554</v>
      </c>
      <c r="L153" s="202">
        <f t="shared" si="43"/>
        <v>-461.24981861611349</v>
      </c>
      <c r="M153" s="203">
        <f t="shared" si="48"/>
        <v>-25.187514017398172</v>
      </c>
      <c r="N153" s="204">
        <f t="shared" si="49"/>
        <v>-486.43733263351169</v>
      </c>
      <c r="O153" s="203">
        <v>0</v>
      </c>
      <c r="P153" s="203">
        <v>0</v>
      </c>
      <c r="Q153" s="203">
        <v>0</v>
      </c>
      <c r="R153" s="204">
        <f t="shared" si="50"/>
        <v>-486.43733263351169</v>
      </c>
    </row>
    <row r="154" spans="1:19" x14ac:dyDescent="0.2">
      <c r="A154" s="161">
        <v>3</v>
      </c>
      <c r="B154" s="196">
        <f t="shared" si="45"/>
        <v>44621</v>
      </c>
      <c r="C154" s="217">
        <f t="shared" si="51"/>
        <v>44656</v>
      </c>
      <c r="D154" s="217">
        <f t="shared" si="51"/>
        <v>44676</v>
      </c>
      <c r="E154" s="225" t="s">
        <v>53</v>
      </c>
      <c r="F154" s="161">
        <v>9</v>
      </c>
      <c r="G154" s="198">
        <v>95</v>
      </c>
      <c r="H154" s="199">
        <f t="shared" si="46"/>
        <v>7.7465319548675735</v>
      </c>
      <c r="I154" s="199">
        <f t="shared" si="44"/>
        <v>3.5148822427931381</v>
      </c>
      <c r="J154" s="200">
        <f t="shared" si="47"/>
        <v>333.91381306534811</v>
      </c>
      <c r="K154" s="201">
        <f t="shared" si="41"/>
        <v>735.92053571241945</v>
      </c>
      <c r="L154" s="202">
        <f>+J154-K154</f>
        <v>-402.00672264707134</v>
      </c>
      <c r="M154" s="203">
        <f t="shared" si="48"/>
        <v>-21.952420473879144</v>
      </c>
      <c r="N154" s="204">
        <f t="shared" si="49"/>
        <v>-423.9591431209505</v>
      </c>
      <c r="O154" s="203">
        <v>0</v>
      </c>
      <c r="P154" s="203">
        <v>0</v>
      </c>
      <c r="Q154" s="203">
        <v>0</v>
      </c>
      <c r="R154" s="204">
        <f t="shared" si="50"/>
        <v>-423.9591431209505</v>
      </c>
    </row>
    <row r="155" spans="1:19" x14ac:dyDescent="0.2">
      <c r="A155" s="124">
        <v>4</v>
      </c>
      <c r="B155" s="196">
        <f t="shared" si="45"/>
        <v>44652</v>
      </c>
      <c r="C155" s="217">
        <f t="shared" si="51"/>
        <v>44685</v>
      </c>
      <c r="D155" s="217">
        <f t="shared" si="51"/>
        <v>44705</v>
      </c>
      <c r="E155" s="225" t="s">
        <v>53</v>
      </c>
      <c r="F155" s="161">
        <v>9</v>
      </c>
      <c r="G155" s="198">
        <v>93</v>
      </c>
      <c r="H155" s="199">
        <f t="shared" si="46"/>
        <v>7.7465319548675735</v>
      </c>
      <c r="I155" s="199">
        <f t="shared" si="44"/>
        <v>3.5148822427931381</v>
      </c>
      <c r="J155" s="200">
        <f t="shared" si="47"/>
        <v>326.88404857976184</v>
      </c>
      <c r="K155" s="201">
        <f t="shared" si="41"/>
        <v>720.42747180268429</v>
      </c>
      <c r="L155" s="202">
        <f t="shared" ref="L155:L165" si="52">+J155-K155</f>
        <v>-393.54342322292246</v>
      </c>
      <c r="M155" s="203">
        <f t="shared" si="48"/>
        <v>-21.490264253376424</v>
      </c>
      <c r="N155" s="204">
        <f t="shared" si="49"/>
        <v>-415.03368747629889</v>
      </c>
      <c r="O155" s="203">
        <v>0</v>
      </c>
      <c r="P155" s="203">
        <v>0</v>
      </c>
      <c r="Q155" s="203">
        <v>0</v>
      </c>
      <c r="R155" s="204">
        <f t="shared" si="50"/>
        <v>-415.03368747629889</v>
      </c>
    </row>
    <row r="156" spans="1:19" x14ac:dyDescent="0.2">
      <c r="A156" s="161">
        <v>5</v>
      </c>
      <c r="B156" s="196">
        <f t="shared" si="45"/>
        <v>44682</v>
      </c>
      <c r="C156" s="217">
        <f t="shared" si="51"/>
        <v>44715</v>
      </c>
      <c r="D156" s="217">
        <f t="shared" si="51"/>
        <v>44735</v>
      </c>
      <c r="E156" s="225" t="s">
        <v>53</v>
      </c>
      <c r="F156" s="161">
        <v>9</v>
      </c>
      <c r="G156" s="198">
        <v>125</v>
      </c>
      <c r="H156" s="199">
        <f t="shared" si="46"/>
        <v>7.7465319548675735</v>
      </c>
      <c r="I156" s="199">
        <f t="shared" si="44"/>
        <v>3.5148822427931381</v>
      </c>
      <c r="J156" s="200">
        <f t="shared" si="47"/>
        <v>439.36028034914227</v>
      </c>
      <c r="K156" s="201">
        <f t="shared" si="41"/>
        <v>968.31649435844668</v>
      </c>
      <c r="L156" s="202">
        <f t="shared" si="52"/>
        <v>-528.9562140093044</v>
      </c>
      <c r="M156" s="203">
        <f t="shared" si="48"/>
        <v>-28.884763781419924</v>
      </c>
      <c r="N156" s="204">
        <f t="shared" si="49"/>
        <v>-557.84097779072431</v>
      </c>
      <c r="O156" s="203">
        <v>0</v>
      </c>
      <c r="P156" s="203">
        <v>0</v>
      </c>
      <c r="Q156" s="203">
        <v>0</v>
      </c>
      <c r="R156" s="204">
        <f t="shared" si="50"/>
        <v>-557.84097779072431</v>
      </c>
    </row>
    <row r="157" spans="1:19" x14ac:dyDescent="0.2">
      <c r="A157" s="161">
        <v>6</v>
      </c>
      <c r="B157" s="196">
        <f t="shared" si="45"/>
        <v>44713</v>
      </c>
      <c r="C157" s="217">
        <f t="shared" si="51"/>
        <v>44747</v>
      </c>
      <c r="D157" s="217">
        <f t="shared" si="51"/>
        <v>44767</v>
      </c>
      <c r="E157" s="225" t="s">
        <v>53</v>
      </c>
      <c r="F157" s="161">
        <v>9</v>
      </c>
      <c r="G157" s="198">
        <v>159</v>
      </c>
      <c r="H157" s="199">
        <f t="shared" si="46"/>
        <v>7.7465319548675735</v>
      </c>
      <c r="I157" s="199">
        <f t="shared" si="44"/>
        <v>3.5148822427931381</v>
      </c>
      <c r="J157" s="200">
        <f t="shared" si="47"/>
        <v>558.86627660410898</v>
      </c>
      <c r="K157" s="201">
        <f t="shared" si="41"/>
        <v>1231.6985808239442</v>
      </c>
      <c r="L157" s="206">
        <f t="shared" si="52"/>
        <v>-672.83230421983524</v>
      </c>
      <c r="M157" s="203">
        <f t="shared" si="48"/>
        <v>-36.741419529966144</v>
      </c>
      <c r="N157" s="204">
        <f t="shared" si="49"/>
        <v>-709.57372374980139</v>
      </c>
      <c r="O157" s="203">
        <v>0</v>
      </c>
      <c r="P157" s="203">
        <v>0</v>
      </c>
      <c r="Q157" s="203">
        <v>0</v>
      </c>
      <c r="R157" s="204">
        <f t="shared" si="50"/>
        <v>-709.57372374980139</v>
      </c>
    </row>
    <row r="158" spans="1:19" x14ac:dyDescent="0.2">
      <c r="A158" s="124">
        <v>7</v>
      </c>
      <c r="B158" s="196">
        <f t="shared" si="45"/>
        <v>44743</v>
      </c>
      <c r="C158" s="217">
        <f t="shared" si="51"/>
        <v>44776</v>
      </c>
      <c r="D158" s="217">
        <f t="shared" si="51"/>
        <v>44796</v>
      </c>
      <c r="E158" s="225" t="s">
        <v>53</v>
      </c>
      <c r="F158" s="161">
        <v>9</v>
      </c>
      <c r="G158" s="198">
        <v>176</v>
      </c>
      <c r="H158" s="199">
        <f t="shared" si="46"/>
        <v>7.7465319548675735</v>
      </c>
      <c r="I158" s="199">
        <f t="shared" si="44"/>
        <v>3.5148822427931381</v>
      </c>
      <c r="J158" s="200">
        <f t="shared" si="47"/>
        <v>618.61927473159233</v>
      </c>
      <c r="K158" s="207">
        <f t="shared" si="41"/>
        <v>1363.389624056693</v>
      </c>
      <c r="L158" s="206">
        <f t="shared" si="52"/>
        <v>-744.77034932510071</v>
      </c>
      <c r="M158" s="203">
        <f t="shared" si="48"/>
        <v>-40.669747404239253</v>
      </c>
      <c r="N158" s="204">
        <f t="shared" si="49"/>
        <v>-785.44009672933998</v>
      </c>
      <c r="O158" s="203">
        <v>0</v>
      </c>
      <c r="P158" s="203">
        <v>0</v>
      </c>
      <c r="Q158" s="203">
        <v>0</v>
      </c>
      <c r="R158" s="204">
        <f t="shared" si="50"/>
        <v>-785.44009672933998</v>
      </c>
    </row>
    <row r="159" spans="1:19" x14ac:dyDescent="0.2">
      <c r="A159" s="161">
        <v>8</v>
      </c>
      <c r="B159" s="196">
        <f t="shared" si="45"/>
        <v>44774</v>
      </c>
      <c r="C159" s="217">
        <f t="shared" si="51"/>
        <v>44809</v>
      </c>
      <c r="D159" s="217">
        <f t="shared" si="51"/>
        <v>44827</v>
      </c>
      <c r="E159" s="225" t="s">
        <v>53</v>
      </c>
      <c r="F159" s="124">
        <v>9</v>
      </c>
      <c r="G159" s="198">
        <v>167</v>
      </c>
      <c r="H159" s="199">
        <f t="shared" si="46"/>
        <v>7.7465319548675735</v>
      </c>
      <c r="I159" s="199">
        <f t="shared" si="44"/>
        <v>3.5148822427931381</v>
      </c>
      <c r="J159" s="200">
        <f t="shared" si="47"/>
        <v>586.98533454645406</v>
      </c>
      <c r="K159" s="207">
        <f t="shared" si="41"/>
        <v>1293.6708364628848</v>
      </c>
      <c r="L159" s="206">
        <f t="shared" si="52"/>
        <v>-706.68550191643078</v>
      </c>
      <c r="M159" s="203">
        <f t="shared" si="48"/>
        <v>-38.590044411977019</v>
      </c>
      <c r="N159" s="204">
        <f t="shared" si="49"/>
        <v>-745.27554632840781</v>
      </c>
      <c r="O159" s="203">
        <v>0</v>
      </c>
      <c r="P159" s="203">
        <v>0</v>
      </c>
      <c r="Q159" s="203">
        <v>0</v>
      </c>
      <c r="R159" s="204">
        <f t="shared" si="50"/>
        <v>-745.27554632840781</v>
      </c>
      <c r="S159" s="52"/>
    </row>
    <row r="160" spans="1:19" x14ac:dyDescent="0.2">
      <c r="A160" s="161">
        <v>9</v>
      </c>
      <c r="B160" s="196">
        <f t="shared" si="45"/>
        <v>44805</v>
      </c>
      <c r="C160" s="217">
        <f t="shared" si="51"/>
        <v>44839</v>
      </c>
      <c r="D160" s="217">
        <f t="shared" si="51"/>
        <v>44859</v>
      </c>
      <c r="E160" s="225" t="s">
        <v>53</v>
      </c>
      <c r="F160" s="124">
        <v>9</v>
      </c>
      <c r="G160" s="198">
        <v>153</v>
      </c>
      <c r="H160" s="199">
        <f t="shared" si="46"/>
        <v>7.7465319548675735</v>
      </c>
      <c r="I160" s="199">
        <f t="shared" si="44"/>
        <v>3.5148822427931381</v>
      </c>
      <c r="J160" s="200">
        <f t="shared" si="47"/>
        <v>537.77698314735017</v>
      </c>
      <c r="K160" s="207">
        <f t="shared" si="41"/>
        <v>1185.2193890947387</v>
      </c>
      <c r="L160" s="206">
        <f t="shared" si="52"/>
        <v>-647.44240594738858</v>
      </c>
      <c r="M160" s="203">
        <f t="shared" si="48"/>
        <v>-35.354950868457983</v>
      </c>
      <c r="N160" s="204">
        <f t="shared" si="49"/>
        <v>-682.79735681584657</v>
      </c>
      <c r="O160" s="203">
        <v>0</v>
      </c>
      <c r="P160" s="203">
        <v>0</v>
      </c>
      <c r="Q160" s="203">
        <v>0</v>
      </c>
      <c r="R160" s="204">
        <f t="shared" si="50"/>
        <v>-682.79735681584657</v>
      </c>
    </row>
    <row r="161" spans="1:19" x14ac:dyDescent="0.2">
      <c r="A161" s="124">
        <v>10</v>
      </c>
      <c r="B161" s="196">
        <f t="shared" si="45"/>
        <v>44835</v>
      </c>
      <c r="C161" s="217">
        <f t="shared" si="51"/>
        <v>44868</v>
      </c>
      <c r="D161" s="217">
        <f t="shared" si="51"/>
        <v>44888</v>
      </c>
      <c r="E161" s="225" t="s">
        <v>53</v>
      </c>
      <c r="F161" s="124">
        <v>9</v>
      </c>
      <c r="G161" s="198">
        <v>104</v>
      </c>
      <c r="H161" s="199">
        <f t="shared" si="46"/>
        <v>7.7465319548675735</v>
      </c>
      <c r="I161" s="199">
        <f t="shared" si="44"/>
        <v>3.5148822427931381</v>
      </c>
      <c r="J161" s="200">
        <f t="shared" si="47"/>
        <v>365.54775325048638</v>
      </c>
      <c r="K161" s="207">
        <f t="shared" si="41"/>
        <v>805.63932330622765</v>
      </c>
      <c r="L161" s="206">
        <f t="shared" si="52"/>
        <v>-440.09157005574127</v>
      </c>
      <c r="M161" s="203">
        <f t="shared" si="48"/>
        <v>-24.032123466141375</v>
      </c>
      <c r="N161" s="204">
        <f t="shared" si="49"/>
        <v>-464.12369352188267</v>
      </c>
      <c r="O161" s="203">
        <v>0</v>
      </c>
      <c r="P161" s="203">
        <v>0</v>
      </c>
      <c r="Q161" s="203">
        <v>0</v>
      </c>
      <c r="R161" s="204">
        <f t="shared" si="50"/>
        <v>-464.12369352188267</v>
      </c>
    </row>
    <row r="162" spans="1:19" x14ac:dyDescent="0.2">
      <c r="A162" s="161">
        <v>11</v>
      </c>
      <c r="B162" s="196">
        <f t="shared" si="45"/>
        <v>44866</v>
      </c>
      <c r="C162" s="217">
        <f t="shared" si="51"/>
        <v>44900</v>
      </c>
      <c r="D162" s="217">
        <f t="shared" si="51"/>
        <v>44918</v>
      </c>
      <c r="E162" s="225" t="s">
        <v>53</v>
      </c>
      <c r="F162" s="124">
        <v>9</v>
      </c>
      <c r="G162" s="198">
        <v>104</v>
      </c>
      <c r="H162" s="199">
        <f t="shared" si="46"/>
        <v>7.7465319548675735</v>
      </c>
      <c r="I162" s="199">
        <f t="shared" si="44"/>
        <v>3.5148822427931381</v>
      </c>
      <c r="J162" s="200">
        <f t="shared" si="47"/>
        <v>365.54775325048638</v>
      </c>
      <c r="K162" s="207">
        <f t="shared" si="41"/>
        <v>805.63932330622765</v>
      </c>
      <c r="L162" s="206">
        <f t="shared" si="52"/>
        <v>-440.09157005574127</v>
      </c>
      <c r="M162" s="203">
        <f t="shared" si="48"/>
        <v>-24.032123466141375</v>
      </c>
      <c r="N162" s="204">
        <f t="shared" si="49"/>
        <v>-464.12369352188267</v>
      </c>
      <c r="O162" s="203">
        <v>0</v>
      </c>
      <c r="P162" s="203">
        <v>0</v>
      </c>
      <c r="Q162" s="203">
        <v>0</v>
      </c>
      <c r="R162" s="204">
        <f t="shared" si="50"/>
        <v>-464.12369352188267</v>
      </c>
    </row>
    <row r="163" spans="1:19" s="221" customFormat="1" x14ac:dyDescent="0.2">
      <c r="A163" s="161">
        <v>12</v>
      </c>
      <c r="B163" s="219">
        <f t="shared" si="45"/>
        <v>44896</v>
      </c>
      <c r="C163" s="217">
        <f t="shared" si="51"/>
        <v>44930</v>
      </c>
      <c r="D163" s="217">
        <f t="shared" si="51"/>
        <v>44950</v>
      </c>
      <c r="E163" s="226" t="s">
        <v>53</v>
      </c>
      <c r="F163" s="172">
        <v>9</v>
      </c>
      <c r="G163" s="208">
        <v>139</v>
      </c>
      <c r="H163" s="209">
        <f t="shared" si="46"/>
        <v>7.7465319548675735</v>
      </c>
      <c r="I163" s="209">
        <f t="shared" si="44"/>
        <v>3.5148822427931381</v>
      </c>
      <c r="J163" s="210">
        <f t="shared" si="47"/>
        <v>488.56863174824622</v>
      </c>
      <c r="K163" s="211">
        <f t="shared" si="41"/>
        <v>1076.7679417265927</v>
      </c>
      <c r="L163" s="212">
        <f t="shared" si="52"/>
        <v>-588.19930997834649</v>
      </c>
      <c r="M163" s="203">
        <f t="shared" si="48"/>
        <v>-32.119857324938955</v>
      </c>
      <c r="N163" s="204">
        <f t="shared" si="49"/>
        <v>-620.31916730328544</v>
      </c>
      <c r="O163" s="203">
        <v>0</v>
      </c>
      <c r="P163" s="203">
        <v>0</v>
      </c>
      <c r="Q163" s="203">
        <v>0</v>
      </c>
      <c r="R163" s="204">
        <f t="shared" si="50"/>
        <v>-620.31916730328544</v>
      </c>
    </row>
    <row r="164" spans="1:19" x14ac:dyDescent="0.2">
      <c r="A164" s="124">
        <v>1</v>
      </c>
      <c r="B164" s="196">
        <f t="shared" si="45"/>
        <v>44562</v>
      </c>
      <c r="C164" s="214">
        <f t="shared" si="51"/>
        <v>44595</v>
      </c>
      <c r="D164" s="214">
        <f t="shared" si="51"/>
        <v>44615</v>
      </c>
      <c r="E164" s="224" t="s">
        <v>54</v>
      </c>
      <c r="F164" s="124">
        <v>9</v>
      </c>
      <c r="G164" s="198">
        <v>8</v>
      </c>
      <c r="H164" s="199">
        <f t="shared" si="46"/>
        <v>7.7465319548675735</v>
      </c>
      <c r="I164" s="199">
        <f t="shared" si="44"/>
        <v>3.5148822427931381</v>
      </c>
      <c r="J164" s="200">
        <f t="shared" si="47"/>
        <v>28.119057942345105</v>
      </c>
      <c r="K164" s="201">
        <f t="shared" si="41"/>
        <v>61.972255638940588</v>
      </c>
      <c r="L164" s="202">
        <f t="shared" si="52"/>
        <v>-33.853197696595487</v>
      </c>
      <c r="M164" s="203">
        <f t="shared" si="48"/>
        <v>-1.8486248820108753</v>
      </c>
      <c r="N164" s="204">
        <f t="shared" si="49"/>
        <v>-35.701822578606361</v>
      </c>
      <c r="O164" s="203">
        <v>0</v>
      </c>
      <c r="P164" s="203">
        <v>0</v>
      </c>
      <c r="Q164" s="203">
        <v>0</v>
      </c>
      <c r="R164" s="204">
        <f t="shared" si="50"/>
        <v>-35.701822578606361</v>
      </c>
    </row>
    <row r="165" spans="1:19" x14ac:dyDescent="0.2">
      <c r="A165" s="161">
        <v>2</v>
      </c>
      <c r="B165" s="196">
        <f t="shared" si="45"/>
        <v>44593</v>
      </c>
      <c r="C165" s="217">
        <f t="shared" si="51"/>
        <v>44623</v>
      </c>
      <c r="D165" s="217">
        <f t="shared" si="51"/>
        <v>44642</v>
      </c>
      <c r="E165" s="225" t="s">
        <v>54</v>
      </c>
      <c r="F165" s="161">
        <v>9</v>
      </c>
      <c r="G165" s="198">
        <v>11</v>
      </c>
      <c r="H165" s="199">
        <f t="shared" si="46"/>
        <v>7.7465319548675735</v>
      </c>
      <c r="I165" s="199">
        <f t="shared" si="44"/>
        <v>3.5148822427931381</v>
      </c>
      <c r="J165" s="200">
        <f t="shared" si="47"/>
        <v>38.66370467072452</v>
      </c>
      <c r="K165" s="201">
        <f t="shared" si="41"/>
        <v>85.211851503543315</v>
      </c>
      <c r="L165" s="202">
        <f t="shared" si="52"/>
        <v>-46.548146832818794</v>
      </c>
      <c r="M165" s="203">
        <f t="shared" si="48"/>
        <v>-2.5418592127649533</v>
      </c>
      <c r="N165" s="204">
        <f t="shared" si="49"/>
        <v>-49.090006045583749</v>
      </c>
      <c r="O165" s="203">
        <v>0</v>
      </c>
      <c r="P165" s="203">
        <v>0</v>
      </c>
      <c r="Q165" s="203">
        <v>0</v>
      </c>
      <c r="R165" s="204">
        <f t="shared" si="50"/>
        <v>-49.090006045583749</v>
      </c>
    </row>
    <row r="166" spans="1:19" x14ac:dyDescent="0.2">
      <c r="A166" s="161">
        <v>3</v>
      </c>
      <c r="B166" s="196">
        <f t="shared" si="45"/>
        <v>44621</v>
      </c>
      <c r="C166" s="217">
        <f t="shared" si="51"/>
        <v>44656</v>
      </c>
      <c r="D166" s="217">
        <f t="shared" si="51"/>
        <v>44676</v>
      </c>
      <c r="E166" s="225" t="s">
        <v>54</v>
      </c>
      <c r="F166" s="161">
        <v>9</v>
      </c>
      <c r="G166" s="198">
        <v>9</v>
      </c>
      <c r="H166" s="199">
        <f t="shared" si="46"/>
        <v>7.7465319548675735</v>
      </c>
      <c r="I166" s="199">
        <f t="shared" si="44"/>
        <v>3.5148822427931381</v>
      </c>
      <c r="J166" s="200">
        <f t="shared" si="47"/>
        <v>31.633940185138243</v>
      </c>
      <c r="K166" s="201">
        <f t="shared" si="41"/>
        <v>69.718787593808159</v>
      </c>
      <c r="L166" s="202">
        <f>+J166-K166</f>
        <v>-38.084847408669916</v>
      </c>
      <c r="M166" s="203">
        <f t="shared" si="48"/>
        <v>-2.0797029922622348</v>
      </c>
      <c r="N166" s="204">
        <f t="shared" si="49"/>
        <v>-40.16455040093215</v>
      </c>
      <c r="O166" s="203">
        <v>0</v>
      </c>
      <c r="P166" s="203">
        <v>0</v>
      </c>
      <c r="Q166" s="203">
        <v>0</v>
      </c>
      <c r="R166" s="204">
        <f t="shared" si="50"/>
        <v>-40.16455040093215</v>
      </c>
    </row>
    <row r="167" spans="1:19" x14ac:dyDescent="0.2">
      <c r="A167" s="124">
        <v>4</v>
      </c>
      <c r="B167" s="196">
        <f t="shared" si="45"/>
        <v>44652</v>
      </c>
      <c r="C167" s="217">
        <f t="shared" si="51"/>
        <v>44685</v>
      </c>
      <c r="D167" s="217">
        <f t="shared" si="51"/>
        <v>44705</v>
      </c>
      <c r="E167" s="225" t="s">
        <v>54</v>
      </c>
      <c r="F167" s="161">
        <v>9</v>
      </c>
      <c r="G167" s="198">
        <v>11</v>
      </c>
      <c r="H167" s="199">
        <f t="shared" si="46"/>
        <v>7.7465319548675735</v>
      </c>
      <c r="I167" s="199">
        <f t="shared" si="44"/>
        <v>3.5148822427931381</v>
      </c>
      <c r="J167" s="200">
        <f t="shared" si="47"/>
        <v>38.66370467072452</v>
      </c>
      <c r="K167" s="201">
        <f t="shared" si="41"/>
        <v>85.211851503543315</v>
      </c>
      <c r="L167" s="202">
        <f t="shared" ref="L167:L177" si="53">+J167-K167</f>
        <v>-46.548146832818794</v>
      </c>
      <c r="M167" s="203">
        <f t="shared" si="48"/>
        <v>-2.5418592127649533</v>
      </c>
      <c r="N167" s="204">
        <f t="shared" si="49"/>
        <v>-49.090006045583749</v>
      </c>
      <c r="O167" s="203">
        <v>0</v>
      </c>
      <c r="P167" s="203">
        <v>0</v>
      </c>
      <c r="Q167" s="203">
        <v>0</v>
      </c>
      <c r="R167" s="204">
        <f t="shared" si="50"/>
        <v>-49.090006045583749</v>
      </c>
    </row>
    <row r="168" spans="1:19" x14ac:dyDescent="0.2">
      <c r="A168" s="161">
        <v>5</v>
      </c>
      <c r="B168" s="196">
        <f t="shared" si="45"/>
        <v>44682</v>
      </c>
      <c r="C168" s="217">
        <f t="shared" si="51"/>
        <v>44715</v>
      </c>
      <c r="D168" s="217">
        <f t="shared" si="51"/>
        <v>44735</v>
      </c>
      <c r="E168" s="225" t="s">
        <v>54</v>
      </c>
      <c r="F168" s="161">
        <v>9</v>
      </c>
      <c r="G168" s="198">
        <v>11</v>
      </c>
      <c r="H168" s="199">
        <f t="shared" si="46"/>
        <v>7.7465319548675735</v>
      </c>
      <c r="I168" s="199">
        <f t="shared" si="44"/>
        <v>3.5148822427931381</v>
      </c>
      <c r="J168" s="200">
        <f t="shared" si="47"/>
        <v>38.66370467072452</v>
      </c>
      <c r="K168" s="201">
        <f t="shared" si="41"/>
        <v>85.211851503543315</v>
      </c>
      <c r="L168" s="202">
        <f t="shared" si="53"/>
        <v>-46.548146832818794</v>
      </c>
      <c r="M168" s="203">
        <f t="shared" si="48"/>
        <v>-2.5418592127649533</v>
      </c>
      <c r="N168" s="204">
        <f t="shared" si="49"/>
        <v>-49.090006045583749</v>
      </c>
      <c r="O168" s="203">
        <v>0</v>
      </c>
      <c r="P168" s="203">
        <v>0</v>
      </c>
      <c r="Q168" s="203">
        <v>0</v>
      </c>
      <c r="R168" s="204">
        <f t="shared" si="50"/>
        <v>-49.090006045583749</v>
      </c>
    </row>
    <row r="169" spans="1:19" x14ac:dyDescent="0.2">
      <c r="A169" s="161">
        <v>6</v>
      </c>
      <c r="B169" s="196">
        <f t="shared" si="45"/>
        <v>44713</v>
      </c>
      <c r="C169" s="217">
        <f t="shared" si="51"/>
        <v>44747</v>
      </c>
      <c r="D169" s="217">
        <f t="shared" si="51"/>
        <v>44767</v>
      </c>
      <c r="E169" s="225" t="s">
        <v>54</v>
      </c>
      <c r="F169" s="161">
        <v>9</v>
      </c>
      <c r="G169" s="198">
        <v>14</v>
      </c>
      <c r="H169" s="199">
        <f t="shared" si="46"/>
        <v>7.7465319548675735</v>
      </c>
      <c r="I169" s="199">
        <f t="shared" si="44"/>
        <v>3.5148822427931381</v>
      </c>
      <c r="J169" s="200">
        <f t="shared" si="47"/>
        <v>49.208351399103933</v>
      </c>
      <c r="K169" s="201">
        <f t="shared" si="41"/>
        <v>108.45144736814603</v>
      </c>
      <c r="L169" s="206">
        <f t="shared" si="53"/>
        <v>-59.243095969042102</v>
      </c>
      <c r="M169" s="203">
        <f t="shared" si="48"/>
        <v>-3.2350935435190311</v>
      </c>
      <c r="N169" s="204">
        <f t="shared" si="49"/>
        <v>-62.47818951256113</v>
      </c>
      <c r="O169" s="203">
        <v>0</v>
      </c>
      <c r="P169" s="203">
        <v>0</v>
      </c>
      <c r="Q169" s="203">
        <v>0</v>
      </c>
      <c r="R169" s="204">
        <f t="shared" si="50"/>
        <v>-62.47818951256113</v>
      </c>
    </row>
    <row r="170" spans="1:19" x14ac:dyDescent="0.2">
      <c r="A170" s="124">
        <v>7</v>
      </c>
      <c r="B170" s="196">
        <f t="shared" si="45"/>
        <v>44743</v>
      </c>
      <c r="C170" s="217">
        <f t="shared" si="51"/>
        <v>44776</v>
      </c>
      <c r="D170" s="217">
        <f t="shared" si="51"/>
        <v>44796</v>
      </c>
      <c r="E170" s="225" t="s">
        <v>54</v>
      </c>
      <c r="F170" s="161">
        <v>9</v>
      </c>
      <c r="G170" s="198">
        <v>13</v>
      </c>
      <c r="H170" s="199">
        <f t="shared" si="46"/>
        <v>7.7465319548675735</v>
      </c>
      <c r="I170" s="199">
        <f t="shared" si="44"/>
        <v>3.5148822427931381</v>
      </c>
      <c r="J170" s="200">
        <f t="shared" si="47"/>
        <v>45.693469156310798</v>
      </c>
      <c r="K170" s="207">
        <f t="shared" si="41"/>
        <v>100.70491541327846</v>
      </c>
      <c r="L170" s="206">
        <f t="shared" si="53"/>
        <v>-55.011446256967659</v>
      </c>
      <c r="M170" s="203">
        <f t="shared" si="48"/>
        <v>-3.0040154332676718</v>
      </c>
      <c r="N170" s="204">
        <f t="shared" si="49"/>
        <v>-58.015461690235334</v>
      </c>
      <c r="O170" s="203">
        <v>0</v>
      </c>
      <c r="P170" s="203">
        <v>0</v>
      </c>
      <c r="Q170" s="203">
        <v>0</v>
      </c>
      <c r="R170" s="204">
        <f t="shared" si="50"/>
        <v>-58.015461690235334</v>
      </c>
    </row>
    <row r="171" spans="1:19" x14ac:dyDescent="0.2">
      <c r="A171" s="161">
        <v>8</v>
      </c>
      <c r="B171" s="196">
        <f t="shared" si="45"/>
        <v>44774</v>
      </c>
      <c r="C171" s="217">
        <f t="shared" si="51"/>
        <v>44809</v>
      </c>
      <c r="D171" s="217">
        <f t="shared" si="51"/>
        <v>44827</v>
      </c>
      <c r="E171" s="225" t="s">
        <v>54</v>
      </c>
      <c r="F171" s="124">
        <v>9</v>
      </c>
      <c r="G171" s="198">
        <v>13</v>
      </c>
      <c r="H171" s="199">
        <f t="shared" si="46"/>
        <v>7.7465319548675735</v>
      </c>
      <c r="I171" s="199">
        <f t="shared" si="44"/>
        <v>3.5148822427931381</v>
      </c>
      <c r="J171" s="200">
        <f t="shared" si="47"/>
        <v>45.693469156310798</v>
      </c>
      <c r="K171" s="207">
        <f t="shared" si="41"/>
        <v>100.70491541327846</v>
      </c>
      <c r="L171" s="206">
        <f t="shared" si="53"/>
        <v>-55.011446256967659</v>
      </c>
      <c r="M171" s="203">
        <f t="shared" si="48"/>
        <v>-3.0040154332676718</v>
      </c>
      <c r="N171" s="204">
        <f t="shared" si="49"/>
        <v>-58.015461690235334</v>
      </c>
      <c r="O171" s="203">
        <v>0</v>
      </c>
      <c r="P171" s="203">
        <v>0</v>
      </c>
      <c r="Q171" s="203">
        <v>0</v>
      </c>
      <c r="R171" s="204">
        <f t="shared" si="50"/>
        <v>-58.015461690235334</v>
      </c>
      <c r="S171" s="52"/>
    </row>
    <row r="172" spans="1:19" x14ac:dyDescent="0.2">
      <c r="A172" s="161">
        <v>9</v>
      </c>
      <c r="B172" s="196">
        <f t="shared" si="45"/>
        <v>44805</v>
      </c>
      <c r="C172" s="217">
        <f t="shared" ref="C172:D175" si="54">+C160</f>
        <v>44839</v>
      </c>
      <c r="D172" s="217">
        <f t="shared" si="54"/>
        <v>44859</v>
      </c>
      <c r="E172" s="225" t="s">
        <v>54</v>
      </c>
      <c r="F172" s="124">
        <v>9</v>
      </c>
      <c r="G172" s="198">
        <v>13</v>
      </c>
      <c r="H172" s="199">
        <f t="shared" si="46"/>
        <v>7.7465319548675735</v>
      </c>
      <c r="I172" s="199">
        <f t="shared" si="44"/>
        <v>3.5148822427931381</v>
      </c>
      <c r="J172" s="200">
        <f t="shared" si="47"/>
        <v>45.693469156310798</v>
      </c>
      <c r="K172" s="207">
        <f t="shared" si="41"/>
        <v>100.70491541327846</v>
      </c>
      <c r="L172" s="206">
        <f t="shared" si="53"/>
        <v>-55.011446256967659</v>
      </c>
      <c r="M172" s="203">
        <f t="shared" si="48"/>
        <v>-3.0040154332676718</v>
      </c>
      <c r="N172" s="204">
        <f t="shared" si="49"/>
        <v>-58.015461690235334</v>
      </c>
      <c r="O172" s="203">
        <v>0</v>
      </c>
      <c r="P172" s="203">
        <v>0</v>
      </c>
      <c r="Q172" s="203">
        <v>0</v>
      </c>
      <c r="R172" s="204">
        <f t="shared" si="50"/>
        <v>-58.015461690235334</v>
      </c>
    </row>
    <row r="173" spans="1:19" x14ac:dyDescent="0.2">
      <c r="A173" s="124">
        <v>10</v>
      </c>
      <c r="B173" s="196">
        <f t="shared" si="45"/>
        <v>44835</v>
      </c>
      <c r="C173" s="217">
        <f t="shared" si="54"/>
        <v>44868</v>
      </c>
      <c r="D173" s="217">
        <f t="shared" si="54"/>
        <v>44888</v>
      </c>
      <c r="E173" s="225" t="s">
        <v>54</v>
      </c>
      <c r="F173" s="124">
        <v>9</v>
      </c>
      <c r="G173" s="198">
        <v>10</v>
      </c>
      <c r="H173" s="199">
        <f t="shared" si="46"/>
        <v>7.7465319548675735</v>
      </c>
      <c r="I173" s="199">
        <f t="shared" si="44"/>
        <v>3.5148822427931381</v>
      </c>
      <c r="J173" s="200">
        <f t="shared" si="47"/>
        <v>35.148822427931378</v>
      </c>
      <c r="K173" s="207">
        <f t="shared" si="41"/>
        <v>77.465319548675737</v>
      </c>
      <c r="L173" s="206">
        <f t="shared" si="53"/>
        <v>-42.316497120744359</v>
      </c>
      <c r="M173" s="203">
        <f t="shared" si="48"/>
        <v>-2.310781102513594</v>
      </c>
      <c r="N173" s="204">
        <f t="shared" si="49"/>
        <v>-44.627278223257953</v>
      </c>
      <c r="O173" s="203">
        <v>0</v>
      </c>
      <c r="P173" s="203">
        <v>0</v>
      </c>
      <c r="Q173" s="203">
        <v>0</v>
      </c>
      <c r="R173" s="204">
        <f t="shared" si="50"/>
        <v>-44.627278223257953</v>
      </c>
    </row>
    <row r="174" spans="1:19" x14ac:dyDescent="0.2">
      <c r="A174" s="161">
        <v>11</v>
      </c>
      <c r="B174" s="196">
        <f t="shared" si="45"/>
        <v>44866</v>
      </c>
      <c r="C174" s="217">
        <f t="shared" si="54"/>
        <v>44900</v>
      </c>
      <c r="D174" s="217">
        <f t="shared" si="54"/>
        <v>44918</v>
      </c>
      <c r="E174" s="225" t="s">
        <v>54</v>
      </c>
      <c r="F174" s="124">
        <v>9</v>
      </c>
      <c r="G174" s="198">
        <v>9</v>
      </c>
      <c r="H174" s="199">
        <f t="shared" si="46"/>
        <v>7.7465319548675735</v>
      </c>
      <c r="I174" s="199">
        <f t="shared" si="44"/>
        <v>3.5148822427931381</v>
      </c>
      <c r="J174" s="200">
        <f t="shared" si="47"/>
        <v>31.633940185138243</v>
      </c>
      <c r="K174" s="207">
        <f t="shared" si="41"/>
        <v>69.718787593808159</v>
      </c>
      <c r="L174" s="206">
        <f t="shared" si="53"/>
        <v>-38.084847408669916</v>
      </c>
      <c r="M174" s="203">
        <f t="shared" si="48"/>
        <v>-2.0797029922622348</v>
      </c>
      <c r="N174" s="204">
        <f t="shared" si="49"/>
        <v>-40.16455040093215</v>
      </c>
      <c r="O174" s="203">
        <v>0</v>
      </c>
      <c r="P174" s="203">
        <v>0</v>
      </c>
      <c r="Q174" s="203">
        <v>0</v>
      </c>
      <c r="R174" s="204">
        <f t="shared" si="50"/>
        <v>-40.16455040093215</v>
      </c>
    </row>
    <row r="175" spans="1:19" s="221" customFormat="1" x14ac:dyDescent="0.2">
      <c r="A175" s="161">
        <v>12</v>
      </c>
      <c r="B175" s="219">
        <f t="shared" si="45"/>
        <v>44896</v>
      </c>
      <c r="C175" s="217">
        <f t="shared" si="54"/>
        <v>44930</v>
      </c>
      <c r="D175" s="217">
        <f t="shared" si="54"/>
        <v>44950</v>
      </c>
      <c r="E175" s="226" t="s">
        <v>54</v>
      </c>
      <c r="F175" s="172">
        <v>9</v>
      </c>
      <c r="G175" s="208">
        <v>9</v>
      </c>
      <c r="H175" s="209">
        <f t="shared" si="46"/>
        <v>7.7465319548675735</v>
      </c>
      <c r="I175" s="209">
        <f t="shared" si="44"/>
        <v>3.5148822427931381</v>
      </c>
      <c r="J175" s="210">
        <f t="shared" si="47"/>
        <v>31.633940185138243</v>
      </c>
      <c r="K175" s="211">
        <f t="shared" si="41"/>
        <v>69.718787593808159</v>
      </c>
      <c r="L175" s="212">
        <f t="shared" si="53"/>
        <v>-38.084847408669916</v>
      </c>
      <c r="M175" s="203">
        <f t="shared" si="48"/>
        <v>-2.0797029922622348</v>
      </c>
      <c r="N175" s="204">
        <f t="shared" si="49"/>
        <v>-40.16455040093215</v>
      </c>
      <c r="O175" s="203">
        <v>0</v>
      </c>
      <c r="P175" s="203">
        <v>0</v>
      </c>
      <c r="Q175" s="203">
        <v>0</v>
      </c>
      <c r="R175" s="204">
        <f t="shared" si="50"/>
        <v>-40.16455040093215</v>
      </c>
    </row>
    <row r="176" spans="1:19" x14ac:dyDescent="0.2">
      <c r="A176" s="124">
        <v>1</v>
      </c>
      <c r="B176" s="196">
        <f t="shared" si="45"/>
        <v>44562</v>
      </c>
      <c r="C176" s="214">
        <f t="shared" ref="C176:D187" si="55">+C152</f>
        <v>44595</v>
      </c>
      <c r="D176" s="214">
        <f t="shared" si="55"/>
        <v>44615</v>
      </c>
      <c r="E176" s="224" t="s">
        <v>55</v>
      </c>
      <c r="F176" s="161">
        <v>9</v>
      </c>
      <c r="G176" s="198">
        <v>22</v>
      </c>
      <c r="H176" s="199">
        <f t="shared" si="46"/>
        <v>7.7465319548675735</v>
      </c>
      <c r="I176" s="199">
        <f t="shared" si="44"/>
        <v>3.5148822427931381</v>
      </c>
      <c r="J176" s="200">
        <f t="shared" si="47"/>
        <v>77.327409341449041</v>
      </c>
      <c r="K176" s="201">
        <f t="shared" si="41"/>
        <v>170.42370300708663</v>
      </c>
      <c r="L176" s="202">
        <f t="shared" si="53"/>
        <v>-93.096293665637589</v>
      </c>
      <c r="M176" s="203">
        <f t="shared" si="48"/>
        <v>-5.0837184255299066</v>
      </c>
      <c r="N176" s="204">
        <f t="shared" si="49"/>
        <v>-98.180012091167498</v>
      </c>
      <c r="O176" s="203">
        <v>0</v>
      </c>
      <c r="P176" s="203">
        <v>0</v>
      </c>
      <c r="Q176" s="203">
        <v>0</v>
      </c>
      <c r="R176" s="204">
        <f t="shared" si="50"/>
        <v>-98.180012091167498</v>
      </c>
    </row>
    <row r="177" spans="1:18" x14ac:dyDescent="0.2">
      <c r="A177" s="161">
        <v>2</v>
      </c>
      <c r="B177" s="196">
        <f t="shared" si="45"/>
        <v>44593</v>
      </c>
      <c r="C177" s="217">
        <f t="shared" si="55"/>
        <v>44623</v>
      </c>
      <c r="D177" s="217">
        <f t="shared" si="55"/>
        <v>44642</v>
      </c>
      <c r="E177" s="54" t="s">
        <v>55</v>
      </c>
      <c r="F177" s="161">
        <v>9</v>
      </c>
      <c r="G177" s="198">
        <v>22</v>
      </c>
      <c r="H177" s="199">
        <f t="shared" si="46"/>
        <v>7.7465319548675735</v>
      </c>
      <c r="I177" s="199">
        <f t="shared" si="44"/>
        <v>3.5148822427931381</v>
      </c>
      <c r="J177" s="200">
        <f t="shared" si="47"/>
        <v>77.327409341449041</v>
      </c>
      <c r="K177" s="201">
        <f t="shared" si="41"/>
        <v>170.42370300708663</v>
      </c>
      <c r="L177" s="202">
        <f t="shared" si="53"/>
        <v>-93.096293665637589</v>
      </c>
      <c r="M177" s="203">
        <f t="shared" si="48"/>
        <v>-5.0837184255299066</v>
      </c>
      <c r="N177" s="204">
        <f t="shared" si="49"/>
        <v>-98.180012091167498</v>
      </c>
      <c r="O177" s="203">
        <v>0</v>
      </c>
      <c r="P177" s="203">
        <v>0</v>
      </c>
      <c r="Q177" s="203">
        <v>0</v>
      </c>
      <c r="R177" s="204">
        <f t="shared" si="50"/>
        <v>-98.180012091167498</v>
      </c>
    </row>
    <row r="178" spans="1:18" x14ac:dyDescent="0.2">
      <c r="A178" s="161">
        <v>3</v>
      </c>
      <c r="B178" s="196">
        <f t="shared" si="45"/>
        <v>44621</v>
      </c>
      <c r="C178" s="217">
        <f t="shared" si="55"/>
        <v>44656</v>
      </c>
      <c r="D178" s="217">
        <f t="shared" si="55"/>
        <v>44676</v>
      </c>
      <c r="E178" s="54" t="s">
        <v>55</v>
      </c>
      <c r="F178" s="161">
        <v>9</v>
      </c>
      <c r="G178" s="198">
        <v>18</v>
      </c>
      <c r="H178" s="199">
        <f t="shared" si="46"/>
        <v>7.7465319548675735</v>
      </c>
      <c r="I178" s="199">
        <f t="shared" si="44"/>
        <v>3.5148822427931381</v>
      </c>
      <c r="J178" s="200">
        <f t="shared" si="47"/>
        <v>63.267880370276487</v>
      </c>
      <c r="K178" s="201">
        <f t="shared" si="41"/>
        <v>139.43757518761632</v>
      </c>
      <c r="L178" s="202">
        <f>+J178-K178</f>
        <v>-76.169694817339831</v>
      </c>
      <c r="M178" s="203">
        <f t="shared" si="48"/>
        <v>-4.1594059845244695</v>
      </c>
      <c r="N178" s="204">
        <f t="shared" si="49"/>
        <v>-80.3291008018643</v>
      </c>
      <c r="O178" s="203">
        <v>0</v>
      </c>
      <c r="P178" s="203">
        <v>0</v>
      </c>
      <c r="Q178" s="203">
        <v>0</v>
      </c>
      <c r="R178" s="204">
        <f t="shared" si="50"/>
        <v>-80.3291008018643</v>
      </c>
    </row>
    <row r="179" spans="1:18" x14ac:dyDescent="0.2">
      <c r="A179" s="124">
        <v>4</v>
      </c>
      <c r="B179" s="196">
        <f t="shared" si="45"/>
        <v>44652</v>
      </c>
      <c r="C179" s="217">
        <f t="shared" si="55"/>
        <v>44685</v>
      </c>
      <c r="D179" s="217">
        <f t="shared" si="55"/>
        <v>44705</v>
      </c>
      <c r="E179" s="54" t="s">
        <v>55</v>
      </c>
      <c r="F179" s="161">
        <v>9</v>
      </c>
      <c r="G179" s="198">
        <v>21</v>
      </c>
      <c r="H179" s="199">
        <f t="shared" si="46"/>
        <v>7.7465319548675735</v>
      </c>
      <c r="I179" s="199">
        <f t="shared" si="44"/>
        <v>3.5148822427931381</v>
      </c>
      <c r="J179" s="200">
        <f t="shared" si="47"/>
        <v>73.812527098655906</v>
      </c>
      <c r="K179" s="201">
        <f t="shared" si="41"/>
        <v>162.67717105221905</v>
      </c>
      <c r="L179" s="202">
        <f t="shared" ref="L179:L189" si="56">+J179-K179</f>
        <v>-88.864643953563146</v>
      </c>
      <c r="M179" s="203">
        <f t="shared" si="48"/>
        <v>-4.8526403152785473</v>
      </c>
      <c r="N179" s="204">
        <f t="shared" si="49"/>
        <v>-93.717284268841695</v>
      </c>
      <c r="O179" s="203">
        <v>0</v>
      </c>
      <c r="P179" s="203">
        <v>0</v>
      </c>
      <c r="Q179" s="203">
        <v>0</v>
      </c>
      <c r="R179" s="204">
        <f t="shared" si="50"/>
        <v>-93.717284268841695</v>
      </c>
    </row>
    <row r="180" spans="1:18" x14ac:dyDescent="0.2">
      <c r="A180" s="161">
        <v>5</v>
      </c>
      <c r="B180" s="196">
        <f t="shared" si="45"/>
        <v>44682</v>
      </c>
      <c r="C180" s="217">
        <f t="shared" si="55"/>
        <v>44715</v>
      </c>
      <c r="D180" s="217">
        <f t="shared" si="55"/>
        <v>44735</v>
      </c>
      <c r="E180" s="54" t="s">
        <v>55</v>
      </c>
      <c r="F180" s="161">
        <v>9</v>
      </c>
      <c r="G180" s="198">
        <v>31</v>
      </c>
      <c r="H180" s="199">
        <f t="shared" si="46"/>
        <v>7.7465319548675735</v>
      </c>
      <c r="I180" s="199">
        <f t="shared" ref="I180:I211" si="57">$J$3</f>
        <v>3.5148822427931381</v>
      </c>
      <c r="J180" s="200">
        <f t="shared" si="47"/>
        <v>108.96134952658728</v>
      </c>
      <c r="K180" s="201">
        <f t="shared" si="41"/>
        <v>240.14249060089477</v>
      </c>
      <c r="L180" s="202">
        <f t="shared" si="56"/>
        <v>-131.1811410743075</v>
      </c>
      <c r="M180" s="203">
        <f t="shared" si="48"/>
        <v>-7.1634214177921409</v>
      </c>
      <c r="N180" s="204">
        <f t="shared" si="49"/>
        <v>-138.34456249209964</v>
      </c>
      <c r="O180" s="203">
        <v>0</v>
      </c>
      <c r="P180" s="203">
        <v>0</v>
      </c>
      <c r="Q180" s="203">
        <v>0</v>
      </c>
      <c r="R180" s="204">
        <f t="shared" si="50"/>
        <v>-138.34456249209964</v>
      </c>
    </row>
    <row r="181" spans="1:18" x14ac:dyDescent="0.2">
      <c r="A181" s="161">
        <v>6</v>
      </c>
      <c r="B181" s="196">
        <f t="shared" si="45"/>
        <v>44713</v>
      </c>
      <c r="C181" s="217">
        <f t="shared" si="55"/>
        <v>44747</v>
      </c>
      <c r="D181" s="217">
        <f t="shared" si="55"/>
        <v>44767</v>
      </c>
      <c r="E181" s="54" t="s">
        <v>55</v>
      </c>
      <c r="F181" s="161">
        <v>9</v>
      </c>
      <c r="G181" s="198">
        <v>38</v>
      </c>
      <c r="H181" s="199">
        <f t="shared" si="46"/>
        <v>7.7465319548675735</v>
      </c>
      <c r="I181" s="199">
        <f t="shared" si="57"/>
        <v>3.5148822427931381</v>
      </c>
      <c r="J181" s="200">
        <f t="shared" si="47"/>
        <v>133.56552522613924</v>
      </c>
      <c r="K181" s="201">
        <f t="shared" si="41"/>
        <v>294.36821428496779</v>
      </c>
      <c r="L181" s="206">
        <f t="shared" si="56"/>
        <v>-160.80268905882855</v>
      </c>
      <c r="M181" s="203">
        <f t="shared" si="48"/>
        <v>-8.7809681895516576</v>
      </c>
      <c r="N181" s="204">
        <f t="shared" si="49"/>
        <v>-169.58365724838021</v>
      </c>
      <c r="O181" s="203">
        <v>0</v>
      </c>
      <c r="P181" s="203">
        <v>0</v>
      </c>
      <c r="Q181" s="203">
        <v>0</v>
      </c>
      <c r="R181" s="204">
        <f t="shared" si="50"/>
        <v>-169.58365724838021</v>
      </c>
    </row>
    <row r="182" spans="1:18" x14ac:dyDescent="0.2">
      <c r="A182" s="124">
        <v>7</v>
      </c>
      <c r="B182" s="196">
        <f t="shared" si="45"/>
        <v>44743</v>
      </c>
      <c r="C182" s="217">
        <f t="shared" si="55"/>
        <v>44776</v>
      </c>
      <c r="D182" s="217">
        <f t="shared" si="55"/>
        <v>44796</v>
      </c>
      <c r="E182" s="54" t="s">
        <v>55</v>
      </c>
      <c r="F182" s="161">
        <v>9</v>
      </c>
      <c r="G182" s="198">
        <v>40</v>
      </c>
      <c r="H182" s="199">
        <f t="shared" si="46"/>
        <v>7.7465319548675735</v>
      </c>
      <c r="I182" s="199">
        <f t="shared" si="57"/>
        <v>3.5148822427931381</v>
      </c>
      <c r="J182" s="200">
        <f t="shared" si="47"/>
        <v>140.59528971172551</v>
      </c>
      <c r="K182" s="207">
        <f t="shared" si="41"/>
        <v>309.86127819470295</v>
      </c>
      <c r="L182" s="206">
        <f t="shared" si="56"/>
        <v>-169.26598848297743</v>
      </c>
      <c r="M182" s="203">
        <f t="shared" si="48"/>
        <v>-9.2431244100543761</v>
      </c>
      <c r="N182" s="204">
        <f t="shared" si="49"/>
        <v>-178.50911289303181</v>
      </c>
      <c r="O182" s="203">
        <v>0</v>
      </c>
      <c r="P182" s="203">
        <v>0</v>
      </c>
      <c r="Q182" s="203">
        <v>0</v>
      </c>
      <c r="R182" s="204">
        <f t="shared" si="50"/>
        <v>-178.50911289303181</v>
      </c>
    </row>
    <row r="183" spans="1:18" x14ac:dyDescent="0.2">
      <c r="A183" s="161">
        <v>8</v>
      </c>
      <c r="B183" s="196">
        <f t="shared" si="45"/>
        <v>44774</v>
      </c>
      <c r="C183" s="217">
        <f t="shared" si="55"/>
        <v>44809</v>
      </c>
      <c r="D183" s="217">
        <f t="shared" si="55"/>
        <v>44827</v>
      </c>
      <c r="E183" s="54" t="s">
        <v>55</v>
      </c>
      <c r="F183" s="161">
        <v>9</v>
      </c>
      <c r="G183" s="198">
        <v>38</v>
      </c>
      <c r="H183" s="199">
        <f t="shared" si="46"/>
        <v>7.7465319548675735</v>
      </c>
      <c r="I183" s="199">
        <f t="shared" si="57"/>
        <v>3.5148822427931381</v>
      </c>
      <c r="J183" s="200">
        <f t="shared" si="47"/>
        <v>133.56552522613924</v>
      </c>
      <c r="K183" s="207">
        <f t="shared" si="41"/>
        <v>294.36821428496779</v>
      </c>
      <c r="L183" s="206">
        <f t="shared" si="56"/>
        <v>-160.80268905882855</v>
      </c>
      <c r="M183" s="203">
        <f t="shared" si="48"/>
        <v>-8.7809681895516576</v>
      </c>
      <c r="N183" s="204">
        <f t="shared" si="49"/>
        <v>-169.58365724838021</v>
      </c>
      <c r="O183" s="203">
        <v>0</v>
      </c>
      <c r="P183" s="203">
        <v>0</v>
      </c>
      <c r="Q183" s="203">
        <v>0</v>
      </c>
      <c r="R183" s="204">
        <f t="shared" si="50"/>
        <v>-169.58365724838021</v>
      </c>
    </row>
    <row r="184" spans="1:18" x14ac:dyDescent="0.2">
      <c r="A184" s="161">
        <v>9</v>
      </c>
      <c r="B184" s="196">
        <f t="shared" si="45"/>
        <v>44805</v>
      </c>
      <c r="C184" s="217">
        <f t="shared" si="55"/>
        <v>44839</v>
      </c>
      <c r="D184" s="217">
        <f t="shared" si="55"/>
        <v>44859</v>
      </c>
      <c r="E184" s="54" t="s">
        <v>55</v>
      </c>
      <c r="F184" s="161">
        <v>9</v>
      </c>
      <c r="G184" s="198">
        <v>35</v>
      </c>
      <c r="H184" s="199">
        <f t="shared" si="46"/>
        <v>7.7465319548675735</v>
      </c>
      <c r="I184" s="199">
        <f t="shared" si="57"/>
        <v>3.5148822427931381</v>
      </c>
      <c r="J184" s="200">
        <f t="shared" si="47"/>
        <v>123.02087849775984</v>
      </c>
      <c r="K184" s="207">
        <f t="shared" si="41"/>
        <v>271.12861842036506</v>
      </c>
      <c r="L184" s="206">
        <f t="shared" si="56"/>
        <v>-148.10773992260522</v>
      </c>
      <c r="M184" s="203">
        <f t="shared" si="48"/>
        <v>-8.0877338587975789</v>
      </c>
      <c r="N184" s="204">
        <f t="shared" si="49"/>
        <v>-156.1954737814028</v>
      </c>
      <c r="O184" s="203">
        <v>0</v>
      </c>
      <c r="P184" s="203">
        <v>0</v>
      </c>
      <c r="Q184" s="203">
        <v>0</v>
      </c>
      <c r="R184" s="204">
        <f t="shared" si="50"/>
        <v>-156.1954737814028</v>
      </c>
    </row>
    <row r="185" spans="1:18" x14ac:dyDescent="0.2">
      <c r="A185" s="124">
        <v>10</v>
      </c>
      <c r="B185" s="196">
        <f t="shared" si="45"/>
        <v>44835</v>
      </c>
      <c r="C185" s="217">
        <f t="shared" si="55"/>
        <v>44868</v>
      </c>
      <c r="D185" s="217">
        <f t="shared" si="55"/>
        <v>44888</v>
      </c>
      <c r="E185" s="54" t="s">
        <v>55</v>
      </c>
      <c r="F185" s="161">
        <v>9</v>
      </c>
      <c r="G185" s="198">
        <v>23</v>
      </c>
      <c r="H185" s="199">
        <f t="shared" si="46"/>
        <v>7.7465319548675735</v>
      </c>
      <c r="I185" s="199">
        <f t="shared" si="57"/>
        <v>3.5148822427931381</v>
      </c>
      <c r="J185" s="200">
        <f t="shared" si="47"/>
        <v>80.842291584242176</v>
      </c>
      <c r="K185" s="207">
        <f t="shared" si="41"/>
        <v>178.17023496195418</v>
      </c>
      <c r="L185" s="206">
        <f t="shared" si="56"/>
        <v>-97.327943377712003</v>
      </c>
      <c r="M185" s="203">
        <f t="shared" si="48"/>
        <v>-5.3147965357812659</v>
      </c>
      <c r="N185" s="204">
        <f t="shared" si="49"/>
        <v>-102.64273991349327</v>
      </c>
      <c r="O185" s="203">
        <v>0</v>
      </c>
      <c r="P185" s="203">
        <v>0</v>
      </c>
      <c r="Q185" s="203">
        <v>0</v>
      </c>
      <c r="R185" s="204">
        <f t="shared" si="50"/>
        <v>-102.64273991349327</v>
      </c>
    </row>
    <row r="186" spans="1:18" x14ac:dyDescent="0.2">
      <c r="A186" s="161">
        <v>11</v>
      </c>
      <c r="B186" s="196">
        <f t="shared" si="45"/>
        <v>44866</v>
      </c>
      <c r="C186" s="217">
        <f t="shared" si="55"/>
        <v>44900</v>
      </c>
      <c r="D186" s="217">
        <f t="shared" si="55"/>
        <v>44918</v>
      </c>
      <c r="E186" s="54" t="s">
        <v>55</v>
      </c>
      <c r="F186" s="161">
        <v>9</v>
      </c>
      <c r="G186" s="198">
        <v>18</v>
      </c>
      <c r="H186" s="199">
        <f t="shared" si="46"/>
        <v>7.7465319548675735</v>
      </c>
      <c r="I186" s="199">
        <f t="shared" si="57"/>
        <v>3.5148822427931381</v>
      </c>
      <c r="J186" s="200">
        <f t="shared" si="47"/>
        <v>63.267880370276487</v>
      </c>
      <c r="K186" s="207">
        <f t="shared" si="41"/>
        <v>139.43757518761632</v>
      </c>
      <c r="L186" s="206">
        <f t="shared" si="56"/>
        <v>-76.169694817339831</v>
      </c>
      <c r="M186" s="203">
        <f t="shared" si="48"/>
        <v>-4.1594059845244695</v>
      </c>
      <c r="N186" s="204">
        <f t="shared" si="49"/>
        <v>-80.3291008018643</v>
      </c>
      <c r="O186" s="203">
        <v>0</v>
      </c>
      <c r="P186" s="203">
        <v>0</v>
      </c>
      <c r="Q186" s="203">
        <v>0</v>
      </c>
      <c r="R186" s="204">
        <f t="shared" si="50"/>
        <v>-80.3291008018643</v>
      </c>
    </row>
    <row r="187" spans="1:18" s="221" customFormat="1" x14ac:dyDescent="0.2">
      <c r="A187" s="161">
        <v>12</v>
      </c>
      <c r="B187" s="219">
        <f t="shared" si="45"/>
        <v>44896</v>
      </c>
      <c r="C187" s="217">
        <f t="shared" si="55"/>
        <v>44930</v>
      </c>
      <c r="D187" s="217">
        <f t="shared" si="55"/>
        <v>44950</v>
      </c>
      <c r="E187" s="220" t="s">
        <v>55</v>
      </c>
      <c r="F187" s="172">
        <v>9</v>
      </c>
      <c r="G187" s="208">
        <v>27</v>
      </c>
      <c r="H187" s="209">
        <f t="shared" si="46"/>
        <v>7.7465319548675735</v>
      </c>
      <c r="I187" s="209">
        <f t="shared" si="57"/>
        <v>3.5148822427931381</v>
      </c>
      <c r="J187" s="210">
        <f t="shared" si="47"/>
        <v>94.90182055541473</v>
      </c>
      <c r="K187" s="211">
        <f t="shared" si="41"/>
        <v>209.15636278142449</v>
      </c>
      <c r="L187" s="212">
        <f t="shared" si="56"/>
        <v>-114.25454222600976</v>
      </c>
      <c r="M187" s="203">
        <f t="shared" si="48"/>
        <v>-6.2391089767867038</v>
      </c>
      <c r="N187" s="204">
        <f t="shared" si="49"/>
        <v>-120.49365120279647</v>
      </c>
      <c r="O187" s="203">
        <v>0</v>
      </c>
      <c r="P187" s="203">
        <v>0</v>
      </c>
      <c r="Q187" s="203">
        <v>0</v>
      </c>
      <c r="R187" s="204">
        <f t="shared" si="50"/>
        <v>-120.49365120279647</v>
      </c>
    </row>
    <row r="188" spans="1:18" x14ac:dyDescent="0.2">
      <c r="A188" s="124">
        <v>1</v>
      </c>
      <c r="B188" s="196">
        <f t="shared" si="45"/>
        <v>44562</v>
      </c>
      <c r="C188" s="214">
        <f t="shared" ref="C188:D211" si="58">+C176</f>
        <v>44595</v>
      </c>
      <c r="D188" s="214">
        <f t="shared" si="58"/>
        <v>44615</v>
      </c>
      <c r="E188" s="197" t="s">
        <v>56</v>
      </c>
      <c r="F188" s="124">
        <v>9</v>
      </c>
      <c r="G188" s="198">
        <v>37</v>
      </c>
      <c r="H188" s="199">
        <f t="shared" si="46"/>
        <v>7.7465319548675735</v>
      </c>
      <c r="I188" s="199">
        <f t="shared" si="57"/>
        <v>3.5148822427931381</v>
      </c>
      <c r="J188" s="200">
        <f t="shared" si="47"/>
        <v>130.05064298334611</v>
      </c>
      <c r="K188" s="201">
        <f t="shared" si="41"/>
        <v>286.62168233010021</v>
      </c>
      <c r="L188" s="202">
        <f t="shared" si="56"/>
        <v>-156.57103934675411</v>
      </c>
      <c r="M188" s="203">
        <f t="shared" si="48"/>
        <v>-8.5498900793002974</v>
      </c>
      <c r="N188" s="204">
        <f t="shared" si="49"/>
        <v>-165.1209294260544</v>
      </c>
      <c r="O188" s="203">
        <v>0</v>
      </c>
      <c r="P188" s="203">
        <v>0</v>
      </c>
      <c r="Q188" s="203">
        <v>0</v>
      </c>
      <c r="R188" s="204">
        <f t="shared" si="50"/>
        <v>-165.1209294260544</v>
      </c>
    </row>
    <row r="189" spans="1:18" x14ac:dyDescent="0.2">
      <c r="A189" s="161">
        <v>2</v>
      </c>
      <c r="B189" s="196">
        <f t="shared" si="45"/>
        <v>44593</v>
      </c>
      <c r="C189" s="217">
        <f t="shared" si="58"/>
        <v>44623</v>
      </c>
      <c r="D189" s="217">
        <f t="shared" si="58"/>
        <v>44642</v>
      </c>
      <c r="E189" s="205" t="s">
        <v>56</v>
      </c>
      <c r="F189" s="161">
        <v>9</v>
      </c>
      <c r="G189" s="198">
        <v>37</v>
      </c>
      <c r="H189" s="199">
        <f t="shared" si="46"/>
        <v>7.7465319548675735</v>
      </c>
      <c r="I189" s="199">
        <f t="shared" si="57"/>
        <v>3.5148822427931381</v>
      </c>
      <c r="J189" s="200">
        <f t="shared" si="47"/>
        <v>130.05064298334611</v>
      </c>
      <c r="K189" s="201">
        <f t="shared" si="41"/>
        <v>286.62168233010021</v>
      </c>
      <c r="L189" s="202">
        <f t="shared" si="56"/>
        <v>-156.57103934675411</v>
      </c>
      <c r="M189" s="203">
        <f t="shared" si="48"/>
        <v>-8.5498900793002974</v>
      </c>
      <c r="N189" s="204">
        <f t="shared" si="49"/>
        <v>-165.1209294260544</v>
      </c>
      <c r="O189" s="203">
        <v>0</v>
      </c>
      <c r="P189" s="203">
        <v>0</v>
      </c>
      <c r="Q189" s="203">
        <v>0</v>
      </c>
      <c r="R189" s="204">
        <f t="shared" si="50"/>
        <v>-165.1209294260544</v>
      </c>
    </row>
    <row r="190" spans="1:18" x14ac:dyDescent="0.2">
      <c r="A190" s="161">
        <v>3</v>
      </c>
      <c r="B190" s="196">
        <f t="shared" si="45"/>
        <v>44621</v>
      </c>
      <c r="C190" s="217">
        <f t="shared" si="58"/>
        <v>44656</v>
      </c>
      <c r="D190" s="217">
        <f t="shared" si="58"/>
        <v>44676</v>
      </c>
      <c r="E190" s="205" t="s">
        <v>56</v>
      </c>
      <c r="F190" s="161">
        <v>9</v>
      </c>
      <c r="G190" s="198">
        <v>25</v>
      </c>
      <c r="H190" s="199">
        <f t="shared" si="46"/>
        <v>7.7465319548675735</v>
      </c>
      <c r="I190" s="199">
        <f t="shared" si="57"/>
        <v>3.5148822427931381</v>
      </c>
      <c r="J190" s="200">
        <f t="shared" si="47"/>
        <v>87.872056069828446</v>
      </c>
      <c r="K190" s="201">
        <f t="shared" si="41"/>
        <v>193.66329887168934</v>
      </c>
      <c r="L190" s="202">
        <f>+J190-K190</f>
        <v>-105.79124280186089</v>
      </c>
      <c r="M190" s="203">
        <f t="shared" si="48"/>
        <v>-5.7769527562839844</v>
      </c>
      <c r="N190" s="204">
        <f t="shared" si="49"/>
        <v>-111.56819555814488</v>
      </c>
      <c r="O190" s="203">
        <v>0</v>
      </c>
      <c r="P190" s="203">
        <v>0</v>
      </c>
      <c r="Q190" s="203">
        <v>0</v>
      </c>
      <c r="R190" s="204">
        <f t="shared" si="50"/>
        <v>-111.56819555814488</v>
      </c>
    </row>
    <row r="191" spans="1:18" x14ac:dyDescent="0.2">
      <c r="A191" s="124">
        <v>4</v>
      </c>
      <c r="B191" s="196">
        <f t="shared" si="45"/>
        <v>44652</v>
      </c>
      <c r="C191" s="217">
        <f t="shared" si="58"/>
        <v>44685</v>
      </c>
      <c r="D191" s="217">
        <f t="shared" si="58"/>
        <v>44705</v>
      </c>
      <c r="E191" s="54" t="s">
        <v>56</v>
      </c>
      <c r="F191" s="161">
        <v>9</v>
      </c>
      <c r="G191" s="198">
        <v>31</v>
      </c>
      <c r="H191" s="199">
        <f t="shared" si="46"/>
        <v>7.7465319548675735</v>
      </c>
      <c r="I191" s="199">
        <f t="shared" si="57"/>
        <v>3.5148822427931381</v>
      </c>
      <c r="J191" s="200">
        <f t="shared" si="47"/>
        <v>108.96134952658728</v>
      </c>
      <c r="K191" s="201">
        <f t="shared" si="41"/>
        <v>240.14249060089477</v>
      </c>
      <c r="L191" s="202">
        <f t="shared" ref="L191:L201" si="59">+J191-K191</f>
        <v>-131.1811410743075</v>
      </c>
      <c r="M191" s="203">
        <f t="shared" si="48"/>
        <v>-7.1634214177921409</v>
      </c>
      <c r="N191" s="204">
        <f t="shared" si="49"/>
        <v>-138.34456249209964</v>
      </c>
      <c r="O191" s="203">
        <v>0</v>
      </c>
      <c r="P191" s="203">
        <v>0</v>
      </c>
      <c r="Q191" s="203">
        <v>0</v>
      </c>
      <c r="R191" s="204">
        <f t="shared" si="50"/>
        <v>-138.34456249209964</v>
      </c>
    </row>
    <row r="192" spans="1:18" x14ac:dyDescent="0.2">
      <c r="A192" s="161">
        <v>5</v>
      </c>
      <c r="B192" s="196">
        <f t="shared" si="45"/>
        <v>44682</v>
      </c>
      <c r="C192" s="217">
        <f t="shared" si="58"/>
        <v>44715</v>
      </c>
      <c r="D192" s="217">
        <f t="shared" si="58"/>
        <v>44735</v>
      </c>
      <c r="E192" s="54" t="s">
        <v>56</v>
      </c>
      <c r="F192" s="161">
        <v>9</v>
      </c>
      <c r="G192" s="198">
        <v>40</v>
      </c>
      <c r="H192" s="199">
        <f t="shared" si="46"/>
        <v>7.7465319548675735</v>
      </c>
      <c r="I192" s="199">
        <f t="shared" si="57"/>
        <v>3.5148822427931381</v>
      </c>
      <c r="J192" s="200">
        <f t="shared" si="47"/>
        <v>140.59528971172551</v>
      </c>
      <c r="K192" s="201">
        <f t="shared" si="41"/>
        <v>309.86127819470295</v>
      </c>
      <c r="L192" s="202">
        <f t="shared" si="59"/>
        <v>-169.26598848297743</v>
      </c>
      <c r="M192" s="203">
        <f t="shared" si="48"/>
        <v>-9.2431244100543761</v>
      </c>
      <c r="N192" s="204">
        <f t="shared" si="49"/>
        <v>-178.50911289303181</v>
      </c>
      <c r="O192" s="203">
        <v>0</v>
      </c>
      <c r="P192" s="203">
        <v>0</v>
      </c>
      <c r="Q192" s="203">
        <v>0</v>
      </c>
      <c r="R192" s="204">
        <f t="shared" si="50"/>
        <v>-178.50911289303181</v>
      </c>
    </row>
    <row r="193" spans="1:18" x14ac:dyDescent="0.2">
      <c r="A193" s="161">
        <v>6</v>
      </c>
      <c r="B193" s="196">
        <f t="shared" si="45"/>
        <v>44713</v>
      </c>
      <c r="C193" s="217">
        <f t="shared" si="58"/>
        <v>44747</v>
      </c>
      <c r="D193" s="217">
        <f t="shared" si="58"/>
        <v>44767</v>
      </c>
      <c r="E193" s="54" t="s">
        <v>56</v>
      </c>
      <c r="F193" s="161">
        <v>9</v>
      </c>
      <c r="G193" s="198">
        <v>48</v>
      </c>
      <c r="H193" s="199">
        <f t="shared" si="46"/>
        <v>7.7465319548675735</v>
      </c>
      <c r="I193" s="199">
        <f t="shared" si="57"/>
        <v>3.5148822427931381</v>
      </c>
      <c r="J193" s="200">
        <f t="shared" si="47"/>
        <v>168.71434765407062</v>
      </c>
      <c r="K193" s="201">
        <f t="shared" si="41"/>
        <v>371.83353383364351</v>
      </c>
      <c r="L193" s="206">
        <f t="shared" si="59"/>
        <v>-203.11918617957289</v>
      </c>
      <c r="M193" s="203">
        <f t="shared" si="48"/>
        <v>-11.09174929206525</v>
      </c>
      <c r="N193" s="204">
        <f t="shared" si="49"/>
        <v>-214.21093547163815</v>
      </c>
      <c r="O193" s="203">
        <v>0</v>
      </c>
      <c r="P193" s="203">
        <v>0</v>
      </c>
      <c r="Q193" s="203">
        <v>0</v>
      </c>
      <c r="R193" s="204">
        <f t="shared" si="50"/>
        <v>-214.21093547163815</v>
      </c>
    </row>
    <row r="194" spans="1:18" x14ac:dyDescent="0.2">
      <c r="A194" s="124">
        <v>7</v>
      </c>
      <c r="B194" s="196">
        <f t="shared" si="45"/>
        <v>44743</v>
      </c>
      <c r="C194" s="217">
        <f t="shared" si="58"/>
        <v>44776</v>
      </c>
      <c r="D194" s="217">
        <f t="shared" si="58"/>
        <v>44796</v>
      </c>
      <c r="E194" s="54" t="s">
        <v>56</v>
      </c>
      <c r="F194" s="161">
        <v>9</v>
      </c>
      <c r="G194" s="198">
        <v>52</v>
      </c>
      <c r="H194" s="199">
        <f t="shared" si="46"/>
        <v>7.7465319548675735</v>
      </c>
      <c r="I194" s="199">
        <f t="shared" si="57"/>
        <v>3.5148822427931381</v>
      </c>
      <c r="J194" s="200">
        <f t="shared" si="47"/>
        <v>182.77387662524319</v>
      </c>
      <c r="K194" s="207">
        <f t="shared" si="41"/>
        <v>402.81966165311383</v>
      </c>
      <c r="L194" s="206">
        <f t="shared" si="59"/>
        <v>-220.04578502787064</v>
      </c>
      <c r="M194" s="203">
        <f t="shared" si="48"/>
        <v>-12.016061733070687</v>
      </c>
      <c r="N194" s="204">
        <f t="shared" si="49"/>
        <v>-232.06184676094134</v>
      </c>
      <c r="O194" s="203">
        <v>0</v>
      </c>
      <c r="P194" s="203">
        <v>0</v>
      </c>
      <c r="Q194" s="203">
        <v>0</v>
      </c>
      <c r="R194" s="204">
        <f t="shared" si="50"/>
        <v>-232.06184676094134</v>
      </c>
    </row>
    <row r="195" spans="1:18" x14ac:dyDescent="0.2">
      <c r="A195" s="161">
        <v>8</v>
      </c>
      <c r="B195" s="196">
        <f t="shared" si="45"/>
        <v>44774</v>
      </c>
      <c r="C195" s="217">
        <f t="shared" si="58"/>
        <v>44809</v>
      </c>
      <c r="D195" s="217">
        <f t="shared" si="58"/>
        <v>44827</v>
      </c>
      <c r="E195" s="54" t="s">
        <v>56</v>
      </c>
      <c r="F195" s="161">
        <v>9</v>
      </c>
      <c r="G195" s="198">
        <v>50</v>
      </c>
      <c r="H195" s="199">
        <f t="shared" si="46"/>
        <v>7.7465319548675735</v>
      </c>
      <c r="I195" s="199">
        <f t="shared" si="57"/>
        <v>3.5148822427931381</v>
      </c>
      <c r="J195" s="200">
        <f t="shared" si="47"/>
        <v>175.74411213965689</v>
      </c>
      <c r="K195" s="207">
        <f t="shared" si="41"/>
        <v>387.32659774337867</v>
      </c>
      <c r="L195" s="206">
        <f t="shared" si="59"/>
        <v>-211.58248560372178</v>
      </c>
      <c r="M195" s="203">
        <f t="shared" si="48"/>
        <v>-11.553905512567969</v>
      </c>
      <c r="N195" s="204">
        <f t="shared" si="49"/>
        <v>-223.13639111628976</v>
      </c>
      <c r="O195" s="203">
        <v>0</v>
      </c>
      <c r="P195" s="203">
        <v>0</v>
      </c>
      <c r="Q195" s="203">
        <v>0</v>
      </c>
      <c r="R195" s="204">
        <f t="shared" si="50"/>
        <v>-223.13639111628976</v>
      </c>
    </row>
    <row r="196" spans="1:18" x14ac:dyDescent="0.2">
      <c r="A196" s="161">
        <v>9</v>
      </c>
      <c r="B196" s="196">
        <f t="shared" si="45"/>
        <v>44805</v>
      </c>
      <c r="C196" s="217">
        <f t="shared" si="58"/>
        <v>44839</v>
      </c>
      <c r="D196" s="217">
        <f t="shared" si="58"/>
        <v>44859</v>
      </c>
      <c r="E196" s="54" t="s">
        <v>56</v>
      </c>
      <c r="F196" s="161">
        <v>9</v>
      </c>
      <c r="G196" s="198">
        <v>47</v>
      </c>
      <c r="H196" s="199">
        <f t="shared" si="46"/>
        <v>7.7465319548675735</v>
      </c>
      <c r="I196" s="199">
        <f t="shared" si="57"/>
        <v>3.5148822427931381</v>
      </c>
      <c r="J196" s="200">
        <f t="shared" si="47"/>
        <v>165.19946541127749</v>
      </c>
      <c r="K196" s="207">
        <f t="shared" si="41"/>
        <v>364.08700187877594</v>
      </c>
      <c r="L196" s="206">
        <f t="shared" si="59"/>
        <v>-198.88753646749845</v>
      </c>
      <c r="M196" s="203">
        <f t="shared" si="48"/>
        <v>-10.860671181813892</v>
      </c>
      <c r="N196" s="204">
        <f t="shared" si="49"/>
        <v>-209.74820764931235</v>
      </c>
      <c r="O196" s="203">
        <v>0</v>
      </c>
      <c r="P196" s="203">
        <v>0</v>
      </c>
      <c r="Q196" s="203">
        <v>0</v>
      </c>
      <c r="R196" s="204">
        <f t="shared" si="50"/>
        <v>-209.74820764931235</v>
      </c>
    </row>
    <row r="197" spans="1:18" x14ac:dyDescent="0.2">
      <c r="A197" s="124">
        <v>10</v>
      </c>
      <c r="B197" s="196">
        <f t="shared" si="45"/>
        <v>44835</v>
      </c>
      <c r="C197" s="217">
        <f t="shared" si="58"/>
        <v>44868</v>
      </c>
      <c r="D197" s="217">
        <f t="shared" si="58"/>
        <v>44888</v>
      </c>
      <c r="E197" s="54" t="s">
        <v>56</v>
      </c>
      <c r="F197" s="161">
        <v>9</v>
      </c>
      <c r="G197" s="198">
        <v>35</v>
      </c>
      <c r="H197" s="199">
        <f t="shared" si="46"/>
        <v>7.7465319548675735</v>
      </c>
      <c r="I197" s="199">
        <f t="shared" si="57"/>
        <v>3.5148822427931381</v>
      </c>
      <c r="J197" s="200">
        <f t="shared" si="47"/>
        <v>123.02087849775984</v>
      </c>
      <c r="K197" s="207">
        <f t="shared" si="41"/>
        <v>271.12861842036506</v>
      </c>
      <c r="L197" s="206">
        <f t="shared" si="59"/>
        <v>-148.10773992260522</v>
      </c>
      <c r="M197" s="203">
        <f t="shared" si="48"/>
        <v>-8.0877338587975789</v>
      </c>
      <c r="N197" s="204">
        <f t="shared" si="49"/>
        <v>-156.1954737814028</v>
      </c>
      <c r="O197" s="203">
        <v>0</v>
      </c>
      <c r="P197" s="203">
        <v>0</v>
      </c>
      <c r="Q197" s="203">
        <v>0</v>
      </c>
      <c r="R197" s="204">
        <f t="shared" si="50"/>
        <v>-156.1954737814028</v>
      </c>
    </row>
    <row r="198" spans="1:18" x14ac:dyDescent="0.2">
      <c r="A198" s="161">
        <v>11</v>
      </c>
      <c r="B198" s="196">
        <f t="shared" si="45"/>
        <v>44866</v>
      </c>
      <c r="C198" s="217">
        <f t="shared" si="58"/>
        <v>44900</v>
      </c>
      <c r="D198" s="217">
        <f t="shared" si="58"/>
        <v>44918</v>
      </c>
      <c r="E198" s="54" t="s">
        <v>56</v>
      </c>
      <c r="F198" s="161">
        <v>9</v>
      </c>
      <c r="G198" s="198">
        <v>34</v>
      </c>
      <c r="H198" s="199">
        <f t="shared" si="46"/>
        <v>7.7465319548675735</v>
      </c>
      <c r="I198" s="199">
        <f t="shared" si="57"/>
        <v>3.5148822427931381</v>
      </c>
      <c r="J198" s="200">
        <f t="shared" si="47"/>
        <v>119.50599625496669</v>
      </c>
      <c r="K198" s="207">
        <f t="shared" ref="K198:K209" si="60">+$G198*H198</f>
        <v>263.38208646549748</v>
      </c>
      <c r="L198" s="206">
        <f t="shared" si="59"/>
        <v>-143.87609021053078</v>
      </c>
      <c r="M198" s="203">
        <f t="shared" si="48"/>
        <v>-7.8566557485462196</v>
      </c>
      <c r="N198" s="204">
        <f t="shared" si="49"/>
        <v>-151.73274595907699</v>
      </c>
      <c r="O198" s="203">
        <v>0</v>
      </c>
      <c r="P198" s="203">
        <v>0</v>
      </c>
      <c r="Q198" s="203">
        <v>0</v>
      </c>
      <c r="R198" s="204">
        <f t="shared" si="50"/>
        <v>-151.73274595907699</v>
      </c>
    </row>
    <row r="199" spans="1:18" s="221" customFormat="1" x14ac:dyDescent="0.2">
      <c r="A199" s="161">
        <v>12</v>
      </c>
      <c r="B199" s="219">
        <f t="shared" si="45"/>
        <v>44896</v>
      </c>
      <c r="C199" s="217">
        <f t="shared" si="58"/>
        <v>44930</v>
      </c>
      <c r="D199" s="217">
        <f t="shared" si="58"/>
        <v>44950</v>
      </c>
      <c r="E199" s="220" t="s">
        <v>56</v>
      </c>
      <c r="F199" s="172">
        <v>9</v>
      </c>
      <c r="G199" s="208">
        <v>34</v>
      </c>
      <c r="H199" s="209">
        <f t="shared" si="46"/>
        <v>7.7465319548675735</v>
      </c>
      <c r="I199" s="209">
        <f t="shared" si="57"/>
        <v>3.5148822427931381</v>
      </c>
      <c r="J199" s="210">
        <f t="shared" si="47"/>
        <v>119.50599625496669</v>
      </c>
      <c r="K199" s="211">
        <f t="shared" si="60"/>
        <v>263.38208646549748</v>
      </c>
      <c r="L199" s="212">
        <f t="shared" si="59"/>
        <v>-143.87609021053078</v>
      </c>
      <c r="M199" s="203">
        <f t="shared" si="48"/>
        <v>-7.8566557485462196</v>
      </c>
      <c r="N199" s="204">
        <f t="shared" si="49"/>
        <v>-151.73274595907699</v>
      </c>
      <c r="O199" s="203">
        <v>0</v>
      </c>
      <c r="P199" s="203">
        <v>0</v>
      </c>
      <c r="Q199" s="203">
        <v>0</v>
      </c>
      <c r="R199" s="204">
        <f t="shared" si="50"/>
        <v>-151.73274595907699</v>
      </c>
    </row>
    <row r="200" spans="1:18" x14ac:dyDescent="0.2">
      <c r="A200" s="124">
        <v>1</v>
      </c>
      <c r="B200" s="196">
        <f t="shared" si="45"/>
        <v>44562</v>
      </c>
      <c r="C200" s="214">
        <f t="shared" si="58"/>
        <v>44595</v>
      </c>
      <c r="D200" s="214">
        <f t="shared" si="58"/>
        <v>44615</v>
      </c>
      <c r="E200" s="197" t="s">
        <v>17</v>
      </c>
      <c r="F200" s="124">
        <v>9</v>
      </c>
      <c r="G200" s="198">
        <v>106</v>
      </c>
      <c r="H200" s="199">
        <f t="shared" si="46"/>
        <v>7.7465319548675735</v>
      </c>
      <c r="I200" s="199">
        <f t="shared" si="57"/>
        <v>3.5148822427931381</v>
      </c>
      <c r="J200" s="200">
        <f t="shared" si="47"/>
        <v>372.57751773607265</v>
      </c>
      <c r="K200" s="201">
        <f t="shared" si="60"/>
        <v>821.13238721596281</v>
      </c>
      <c r="L200" s="202">
        <f t="shared" si="59"/>
        <v>-448.55486947989016</v>
      </c>
      <c r="M200" s="203">
        <f t="shared" si="48"/>
        <v>-24.494279686644095</v>
      </c>
      <c r="N200" s="204">
        <f t="shared" si="49"/>
        <v>-473.04914916653428</v>
      </c>
      <c r="O200" s="203">
        <v>0</v>
      </c>
      <c r="P200" s="203">
        <v>0</v>
      </c>
      <c r="Q200" s="203">
        <v>0</v>
      </c>
      <c r="R200" s="204">
        <f t="shared" si="50"/>
        <v>-473.04914916653428</v>
      </c>
    </row>
    <row r="201" spans="1:18" x14ac:dyDescent="0.2">
      <c r="A201" s="161">
        <v>2</v>
      </c>
      <c r="B201" s="196">
        <f t="shared" si="45"/>
        <v>44593</v>
      </c>
      <c r="C201" s="217">
        <f t="shared" si="58"/>
        <v>44623</v>
      </c>
      <c r="D201" s="217">
        <f t="shared" si="58"/>
        <v>44642</v>
      </c>
      <c r="E201" s="205" t="s">
        <v>17</v>
      </c>
      <c r="F201" s="161">
        <v>9</v>
      </c>
      <c r="G201" s="198">
        <v>101</v>
      </c>
      <c r="H201" s="199">
        <f t="shared" si="46"/>
        <v>7.7465319548675735</v>
      </c>
      <c r="I201" s="199">
        <f t="shared" si="57"/>
        <v>3.5148822427931381</v>
      </c>
      <c r="J201" s="200">
        <f t="shared" si="47"/>
        <v>355.00310652210698</v>
      </c>
      <c r="K201" s="201">
        <f t="shared" si="60"/>
        <v>782.39972744162492</v>
      </c>
      <c r="L201" s="202">
        <f t="shared" si="59"/>
        <v>-427.39662091951794</v>
      </c>
      <c r="M201" s="203">
        <f t="shared" si="48"/>
        <v>-23.338889135387298</v>
      </c>
      <c r="N201" s="204">
        <f t="shared" si="49"/>
        <v>-450.73551005490526</v>
      </c>
      <c r="O201" s="203">
        <v>0</v>
      </c>
      <c r="P201" s="203">
        <v>0</v>
      </c>
      <c r="Q201" s="203">
        <v>0</v>
      </c>
      <c r="R201" s="204">
        <f t="shared" si="50"/>
        <v>-450.73551005490526</v>
      </c>
    </row>
    <row r="202" spans="1:18" x14ac:dyDescent="0.2">
      <c r="A202" s="161">
        <v>3</v>
      </c>
      <c r="B202" s="196">
        <f t="shared" si="45"/>
        <v>44621</v>
      </c>
      <c r="C202" s="217">
        <f t="shared" si="58"/>
        <v>44656</v>
      </c>
      <c r="D202" s="217">
        <f t="shared" si="58"/>
        <v>44676</v>
      </c>
      <c r="E202" s="205" t="s">
        <v>17</v>
      </c>
      <c r="F202" s="161">
        <v>9</v>
      </c>
      <c r="G202" s="198">
        <v>97</v>
      </c>
      <c r="H202" s="199">
        <f t="shared" si="46"/>
        <v>7.7465319548675735</v>
      </c>
      <c r="I202" s="199">
        <f t="shared" si="57"/>
        <v>3.5148822427931381</v>
      </c>
      <c r="J202" s="200">
        <f t="shared" si="47"/>
        <v>340.94357755093438</v>
      </c>
      <c r="K202" s="201">
        <f t="shared" si="60"/>
        <v>751.41359962215461</v>
      </c>
      <c r="L202" s="202">
        <f>+J202-K202</f>
        <v>-410.47002207122023</v>
      </c>
      <c r="M202" s="203">
        <f t="shared" si="48"/>
        <v>-22.414576694381861</v>
      </c>
      <c r="N202" s="204">
        <f t="shared" si="49"/>
        <v>-432.88459876560211</v>
      </c>
      <c r="O202" s="203">
        <v>0</v>
      </c>
      <c r="P202" s="203">
        <v>0</v>
      </c>
      <c r="Q202" s="203">
        <v>0</v>
      </c>
      <c r="R202" s="204">
        <f t="shared" si="50"/>
        <v>-432.88459876560211</v>
      </c>
    </row>
    <row r="203" spans="1:18" x14ac:dyDescent="0.2">
      <c r="A203" s="124">
        <v>4</v>
      </c>
      <c r="B203" s="196">
        <f t="shared" si="45"/>
        <v>44652</v>
      </c>
      <c r="C203" s="217">
        <f t="shared" si="58"/>
        <v>44685</v>
      </c>
      <c r="D203" s="217">
        <f t="shared" si="58"/>
        <v>44705</v>
      </c>
      <c r="E203" s="205" t="s">
        <v>17</v>
      </c>
      <c r="F203" s="161">
        <v>9</v>
      </c>
      <c r="G203" s="198">
        <v>98</v>
      </c>
      <c r="H203" s="199">
        <f t="shared" si="46"/>
        <v>7.7465319548675735</v>
      </c>
      <c r="I203" s="199">
        <f t="shared" si="57"/>
        <v>3.5148822427931381</v>
      </c>
      <c r="J203" s="200">
        <f t="shared" si="47"/>
        <v>344.45845979372751</v>
      </c>
      <c r="K203" s="201">
        <f t="shared" si="60"/>
        <v>759.16013157702218</v>
      </c>
      <c r="L203" s="202">
        <f t="shared" ref="L203:L211" si="61">+J203-K203</f>
        <v>-414.70167178329467</v>
      </c>
      <c r="M203" s="203">
        <f t="shared" si="48"/>
        <v>-22.645654804633221</v>
      </c>
      <c r="N203" s="204">
        <f t="shared" si="49"/>
        <v>-437.34732658792791</v>
      </c>
      <c r="O203" s="203">
        <v>0</v>
      </c>
      <c r="P203" s="203">
        <v>0</v>
      </c>
      <c r="Q203" s="203">
        <v>0</v>
      </c>
      <c r="R203" s="204">
        <f t="shared" si="50"/>
        <v>-437.34732658792791</v>
      </c>
    </row>
    <row r="204" spans="1:18" x14ac:dyDescent="0.2">
      <c r="A204" s="161">
        <v>5</v>
      </c>
      <c r="B204" s="196">
        <f t="shared" si="45"/>
        <v>44682</v>
      </c>
      <c r="C204" s="217">
        <f t="shared" si="58"/>
        <v>44715</v>
      </c>
      <c r="D204" s="217">
        <f t="shared" si="58"/>
        <v>44735</v>
      </c>
      <c r="E204" s="54" t="s">
        <v>17</v>
      </c>
      <c r="F204" s="161">
        <v>9</v>
      </c>
      <c r="G204" s="198">
        <v>104</v>
      </c>
      <c r="H204" s="199">
        <f t="shared" si="46"/>
        <v>7.7465319548675735</v>
      </c>
      <c r="I204" s="199">
        <f t="shared" si="57"/>
        <v>3.5148822427931381</v>
      </c>
      <c r="J204" s="200">
        <f t="shared" si="47"/>
        <v>365.54775325048638</v>
      </c>
      <c r="K204" s="201">
        <f t="shared" si="60"/>
        <v>805.63932330622765</v>
      </c>
      <c r="L204" s="202">
        <f t="shared" si="61"/>
        <v>-440.09157005574127</v>
      </c>
      <c r="M204" s="203">
        <f t="shared" si="48"/>
        <v>-24.032123466141375</v>
      </c>
      <c r="N204" s="204">
        <f t="shared" si="49"/>
        <v>-464.12369352188267</v>
      </c>
      <c r="O204" s="203">
        <v>0</v>
      </c>
      <c r="P204" s="203">
        <v>0</v>
      </c>
      <c r="Q204" s="203">
        <v>0</v>
      </c>
      <c r="R204" s="204">
        <f t="shared" si="50"/>
        <v>-464.12369352188267</v>
      </c>
    </row>
    <row r="205" spans="1:18" x14ac:dyDescent="0.2">
      <c r="A205" s="161">
        <v>6</v>
      </c>
      <c r="B205" s="196">
        <f t="shared" si="45"/>
        <v>44713</v>
      </c>
      <c r="C205" s="217">
        <f t="shared" si="58"/>
        <v>44747</v>
      </c>
      <c r="D205" s="217">
        <f t="shared" si="58"/>
        <v>44767</v>
      </c>
      <c r="E205" s="54" t="s">
        <v>17</v>
      </c>
      <c r="F205" s="161">
        <v>9</v>
      </c>
      <c r="G205" s="198">
        <v>115</v>
      </c>
      <c r="H205" s="199">
        <f t="shared" si="46"/>
        <v>7.7465319548675735</v>
      </c>
      <c r="I205" s="199">
        <f t="shared" si="57"/>
        <v>3.5148822427931381</v>
      </c>
      <c r="J205" s="200">
        <f t="shared" si="47"/>
        <v>404.21145792121087</v>
      </c>
      <c r="K205" s="201">
        <f t="shared" si="60"/>
        <v>890.85117480977101</v>
      </c>
      <c r="L205" s="206">
        <f t="shared" si="61"/>
        <v>-486.63971688856014</v>
      </c>
      <c r="M205" s="203">
        <f t="shared" si="48"/>
        <v>-26.573982678906333</v>
      </c>
      <c r="N205" s="204">
        <f t="shared" si="49"/>
        <v>-513.21369956746651</v>
      </c>
      <c r="O205" s="203">
        <v>0</v>
      </c>
      <c r="P205" s="203">
        <v>0</v>
      </c>
      <c r="Q205" s="203">
        <v>0</v>
      </c>
      <c r="R205" s="204">
        <f t="shared" si="50"/>
        <v>-513.21369956746651</v>
      </c>
    </row>
    <row r="206" spans="1:18" x14ac:dyDescent="0.2">
      <c r="A206" s="124">
        <v>7</v>
      </c>
      <c r="B206" s="196">
        <f t="shared" si="45"/>
        <v>44743</v>
      </c>
      <c r="C206" s="217">
        <f t="shared" si="58"/>
        <v>44776</v>
      </c>
      <c r="D206" s="217">
        <f t="shared" si="58"/>
        <v>44796</v>
      </c>
      <c r="E206" s="54" t="s">
        <v>17</v>
      </c>
      <c r="F206" s="161">
        <v>9</v>
      </c>
      <c r="G206" s="198">
        <v>42</v>
      </c>
      <c r="H206" s="199">
        <f t="shared" si="46"/>
        <v>7.7465319548675735</v>
      </c>
      <c r="I206" s="199">
        <f t="shared" si="57"/>
        <v>3.5148822427931381</v>
      </c>
      <c r="J206" s="200">
        <f t="shared" si="47"/>
        <v>147.62505419731181</v>
      </c>
      <c r="K206" s="207">
        <f t="shared" si="60"/>
        <v>325.3543421044381</v>
      </c>
      <c r="L206" s="206">
        <f t="shared" si="61"/>
        <v>-177.72928790712629</v>
      </c>
      <c r="M206" s="203">
        <f t="shared" si="48"/>
        <v>-9.7052806305570947</v>
      </c>
      <c r="N206" s="204">
        <f t="shared" si="49"/>
        <v>-187.43456853768339</v>
      </c>
      <c r="O206" s="203">
        <v>0</v>
      </c>
      <c r="P206" s="203">
        <v>0</v>
      </c>
      <c r="Q206" s="203">
        <v>0</v>
      </c>
      <c r="R206" s="204">
        <f t="shared" si="50"/>
        <v>-187.43456853768339</v>
      </c>
    </row>
    <row r="207" spans="1:18" x14ac:dyDescent="0.2">
      <c r="A207" s="161">
        <v>8</v>
      </c>
      <c r="B207" s="196">
        <f t="shared" si="45"/>
        <v>44774</v>
      </c>
      <c r="C207" s="217">
        <f t="shared" si="58"/>
        <v>44809</v>
      </c>
      <c r="D207" s="217">
        <f t="shared" si="58"/>
        <v>44827</v>
      </c>
      <c r="E207" s="54" t="s">
        <v>17</v>
      </c>
      <c r="F207" s="161">
        <v>9</v>
      </c>
      <c r="G207" s="198">
        <v>41</v>
      </c>
      <c r="H207" s="199">
        <f t="shared" si="46"/>
        <v>7.7465319548675735</v>
      </c>
      <c r="I207" s="199">
        <f t="shared" si="57"/>
        <v>3.5148822427931381</v>
      </c>
      <c r="J207" s="200">
        <f t="shared" si="47"/>
        <v>144.11017195451865</v>
      </c>
      <c r="K207" s="207">
        <f t="shared" si="60"/>
        <v>317.60781014957053</v>
      </c>
      <c r="L207" s="206">
        <f t="shared" si="61"/>
        <v>-173.49763819505188</v>
      </c>
      <c r="M207" s="203">
        <f t="shared" si="48"/>
        <v>-9.4742025203057345</v>
      </c>
      <c r="N207" s="204">
        <f t="shared" si="49"/>
        <v>-182.97184071535762</v>
      </c>
      <c r="O207" s="203">
        <v>0</v>
      </c>
      <c r="P207" s="203">
        <v>0</v>
      </c>
      <c r="Q207" s="203">
        <v>0</v>
      </c>
      <c r="R207" s="204">
        <f t="shared" si="50"/>
        <v>-182.97184071535762</v>
      </c>
    </row>
    <row r="208" spans="1:18" x14ac:dyDescent="0.2">
      <c r="A208" s="161">
        <v>9</v>
      </c>
      <c r="B208" s="196">
        <f t="shared" si="45"/>
        <v>44805</v>
      </c>
      <c r="C208" s="217">
        <f t="shared" si="58"/>
        <v>44839</v>
      </c>
      <c r="D208" s="217">
        <f t="shared" si="58"/>
        <v>44859</v>
      </c>
      <c r="E208" s="54" t="s">
        <v>17</v>
      </c>
      <c r="F208" s="161">
        <v>9</v>
      </c>
      <c r="G208" s="198">
        <v>115</v>
      </c>
      <c r="H208" s="199">
        <f t="shared" si="46"/>
        <v>7.7465319548675735</v>
      </c>
      <c r="I208" s="199">
        <f t="shared" si="57"/>
        <v>3.5148822427931381</v>
      </c>
      <c r="J208" s="200">
        <f t="shared" si="47"/>
        <v>404.21145792121087</v>
      </c>
      <c r="K208" s="207">
        <f t="shared" si="60"/>
        <v>890.85117480977101</v>
      </c>
      <c r="L208" s="206">
        <f t="shared" si="61"/>
        <v>-486.63971688856014</v>
      </c>
      <c r="M208" s="203">
        <f t="shared" si="48"/>
        <v>-26.573982678906333</v>
      </c>
      <c r="N208" s="204">
        <f t="shared" si="49"/>
        <v>-513.21369956746651</v>
      </c>
      <c r="O208" s="203">
        <v>0</v>
      </c>
      <c r="P208" s="203">
        <v>0</v>
      </c>
      <c r="Q208" s="203">
        <v>0</v>
      </c>
      <c r="R208" s="204">
        <f t="shared" si="50"/>
        <v>-513.21369956746651</v>
      </c>
    </row>
    <row r="209" spans="1:18" x14ac:dyDescent="0.2">
      <c r="A209" s="124">
        <v>10</v>
      </c>
      <c r="B209" s="196">
        <f t="shared" si="45"/>
        <v>44835</v>
      </c>
      <c r="C209" s="217">
        <f t="shared" si="58"/>
        <v>44868</v>
      </c>
      <c r="D209" s="217">
        <f t="shared" si="58"/>
        <v>44888</v>
      </c>
      <c r="E209" s="54" t="s">
        <v>17</v>
      </c>
      <c r="F209" s="161">
        <v>9</v>
      </c>
      <c r="G209" s="198">
        <v>105</v>
      </c>
      <c r="H209" s="199">
        <f t="shared" si="46"/>
        <v>7.7465319548675735</v>
      </c>
      <c r="I209" s="199">
        <f t="shared" si="57"/>
        <v>3.5148822427931381</v>
      </c>
      <c r="J209" s="200">
        <f t="shared" si="47"/>
        <v>369.06263549327952</v>
      </c>
      <c r="K209" s="207">
        <f t="shared" si="60"/>
        <v>813.38585526109523</v>
      </c>
      <c r="L209" s="206">
        <f t="shared" si="61"/>
        <v>-444.32321976781571</v>
      </c>
      <c r="M209" s="203">
        <f t="shared" si="48"/>
        <v>-24.263201576392738</v>
      </c>
      <c r="N209" s="204">
        <f t="shared" si="49"/>
        <v>-468.58642134420847</v>
      </c>
      <c r="O209" s="203">
        <v>0</v>
      </c>
      <c r="P209" s="203">
        <v>0</v>
      </c>
      <c r="Q209" s="203">
        <v>0</v>
      </c>
      <c r="R209" s="204">
        <f t="shared" si="50"/>
        <v>-468.58642134420847</v>
      </c>
    </row>
    <row r="210" spans="1:18" x14ac:dyDescent="0.2">
      <c r="A210" s="161">
        <v>11</v>
      </c>
      <c r="B210" s="196">
        <f t="shared" si="45"/>
        <v>44866</v>
      </c>
      <c r="C210" s="217">
        <f t="shared" si="58"/>
        <v>44900</v>
      </c>
      <c r="D210" s="217">
        <f t="shared" si="58"/>
        <v>44918</v>
      </c>
      <c r="E210" s="54" t="s">
        <v>17</v>
      </c>
      <c r="F210" s="161">
        <v>9</v>
      </c>
      <c r="G210" s="198">
        <v>104</v>
      </c>
      <c r="H210" s="199">
        <f t="shared" si="46"/>
        <v>7.7465319548675735</v>
      </c>
      <c r="I210" s="199">
        <f t="shared" si="57"/>
        <v>3.5148822427931381</v>
      </c>
      <c r="J210" s="200">
        <f t="shared" si="47"/>
        <v>365.54775325048638</v>
      </c>
      <c r="K210" s="207">
        <f>+$G210*H210</f>
        <v>805.63932330622765</v>
      </c>
      <c r="L210" s="206">
        <f t="shared" si="61"/>
        <v>-440.09157005574127</v>
      </c>
      <c r="M210" s="203">
        <f t="shared" si="48"/>
        <v>-24.032123466141375</v>
      </c>
      <c r="N210" s="204">
        <f t="shared" si="49"/>
        <v>-464.12369352188267</v>
      </c>
      <c r="O210" s="203">
        <v>0</v>
      </c>
      <c r="P210" s="203">
        <v>0</v>
      </c>
      <c r="Q210" s="203">
        <v>0</v>
      </c>
      <c r="R210" s="204">
        <f t="shared" si="50"/>
        <v>-464.12369352188267</v>
      </c>
    </row>
    <row r="211" spans="1:18" s="221" customFormat="1" x14ac:dyDescent="0.2">
      <c r="A211" s="161">
        <v>12</v>
      </c>
      <c r="B211" s="219">
        <f t="shared" si="45"/>
        <v>44896</v>
      </c>
      <c r="C211" s="222">
        <f t="shared" si="58"/>
        <v>44930</v>
      </c>
      <c r="D211" s="222">
        <f t="shared" si="58"/>
        <v>44950</v>
      </c>
      <c r="E211" s="220" t="s">
        <v>17</v>
      </c>
      <c r="F211" s="172">
        <v>9</v>
      </c>
      <c r="G211" s="208">
        <v>104</v>
      </c>
      <c r="H211" s="209">
        <f t="shared" si="46"/>
        <v>7.7465319548675735</v>
      </c>
      <c r="I211" s="209">
        <f t="shared" si="57"/>
        <v>3.5148822427931381</v>
      </c>
      <c r="J211" s="210">
        <f t="shared" si="47"/>
        <v>365.54775325048638</v>
      </c>
      <c r="K211" s="211">
        <f>+$G211*H211</f>
        <v>805.63932330622765</v>
      </c>
      <c r="L211" s="212">
        <f t="shared" si="61"/>
        <v>-440.09157005574127</v>
      </c>
      <c r="M211" s="210">
        <f t="shared" si="48"/>
        <v>-24.032123466141375</v>
      </c>
      <c r="N211" s="204">
        <f t="shared" si="49"/>
        <v>-464.12369352188267</v>
      </c>
      <c r="O211" s="203">
        <v>0</v>
      </c>
      <c r="P211" s="203">
        <v>0</v>
      </c>
      <c r="Q211" s="203">
        <v>0</v>
      </c>
      <c r="R211" s="204">
        <f t="shared" si="50"/>
        <v>-464.12369352188267</v>
      </c>
    </row>
    <row r="212" spans="1:18" x14ac:dyDescent="0.2">
      <c r="G212" s="227">
        <f>SUM(G20:G211)</f>
        <v>104674</v>
      </c>
      <c r="H212" s="51"/>
      <c r="I212" s="51"/>
      <c r="J212" s="51">
        <f>SUM(J20:J211)</f>
        <v>367916.78388212877</v>
      </c>
      <c r="K212" s="51">
        <f>SUM(K20:K211)</f>
        <v>810860.48584380839</v>
      </c>
      <c r="L212" s="51">
        <f>SUM(L20:L211)</f>
        <v>-442943.70196167933</v>
      </c>
      <c r="M212" s="51">
        <f>SUM(M20:M211)</f>
        <v>-24187.870112450779</v>
      </c>
      <c r="N212" s="51"/>
      <c r="O212" s="51"/>
      <c r="P212" s="51">
        <f>SUM(P20:P211)</f>
        <v>0</v>
      </c>
      <c r="Q212" s="51"/>
      <c r="R212" s="228">
        <f>SUM(R20:R211)</f>
        <v>-467131.57207413024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joz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Doz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4BB09F57-0463-4388-ACA3-8D53A088A48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A3EA1F2-B922-4EAF-B4B4-27C884E9EA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s349016</cp:lastModifiedBy>
  <cp:lastPrinted>2023-05-24T20:01:11Z</cp:lastPrinted>
  <dcterms:created xsi:type="dcterms:W3CDTF">2009-09-04T18:19:13Z</dcterms:created>
  <dcterms:modified xsi:type="dcterms:W3CDTF">2023-05-24T20:01:32Z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cfa33df9-0e91-4da4-976b-7a0481d29165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{4BB09F57-0463-4388-ACA3-8D53A088A480}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